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1.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tables/table5.xml" ContentType="application/vnd.openxmlformats-officedocument.spreadsheetml.table+xml"/>
  <Override PartName="/xl/drawings/drawing2.xml" ContentType="application/vnd.openxmlformats-officedocument.drawing+xml"/>
  <Override PartName="/xl/charts/chart1.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charts/chart3.xml" ContentType="application/vnd.openxmlformats-officedocument.drawingml.chart+xml"/>
  <Override PartName="/xl/charts/style4.xml" ContentType="application/vnd.ms-office.chartstyle+xml"/>
  <Override PartName="/xl/charts/colors4.xml" ContentType="application/vnd.ms-office.chartcolorsty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drawings/drawing4.xml" ContentType="application/vnd.openxmlformats-officedocument.drawing+xml"/>
  <Override PartName="/xl/tables/table9.xml" ContentType="application/vnd.openxmlformats-officedocument.spreadsheetml.table+xml"/>
  <Override PartName="/xl/charts/chart4.xml" ContentType="application/vnd.openxmlformats-officedocument.drawingml.chart+xml"/>
  <Override PartName="/xl/charts/style5.xml" ContentType="application/vnd.ms-office.chartstyle+xml"/>
  <Override PartName="/xl/charts/colors5.xml" ContentType="application/vnd.ms-office.chartcolorstyle+xml"/>
  <Override PartName="/xl/charts/chart5.xml" ContentType="application/vnd.openxmlformats-officedocument.drawingml.chart+xml"/>
  <Override PartName="/xl/charts/style6.xml" ContentType="application/vnd.ms-office.chartstyle+xml"/>
  <Override PartName="/xl/charts/colors6.xml" ContentType="application/vnd.ms-office.chartcolorstyle+xml"/>
  <Override PartName="/xl/pivotTables/pivotTable1.xml" ContentType="application/vnd.openxmlformats-officedocument.spreadsheetml.pivotTable+xml"/>
  <Override PartName="/xl/drawings/drawing5.xml" ContentType="application/vnd.openxmlformats-officedocument.drawing+xml"/>
  <Override PartName="/xl/charts/chart6.xml" ContentType="application/vnd.openxmlformats-officedocument.drawingml.chart+xml"/>
  <Override PartName="/xl/charts/style7.xml" ContentType="application/vnd.ms-office.chartstyle+xml"/>
  <Override PartName="/xl/charts/colors7.xml" ContentType="application/vnd.ms-office.chartcolorstyle+xml"/>
  <Override PartName="/xl/charts/chart7.xml" ContentType="application/vnd.openxmlformats-officedocument.drawingml.chart+xml"/>
  <Override PartName="/xl/charts/style8.xml" ContentType="application/vnd.ms-office.chartstyle+xml"/>
  <Override PartName="/xl/charts/colors8.xml" ContentType="application/vnd.ms-office.chartcolorstyle+xml"/>
  <Override PartName="/xl/drawings/drawing6.xml" ContentType="application/vnd.openxmlformats-officedocument.drawing+xml"/>
  <Override PartName="/xl/tables/table10.xml" ContentType="application/vnd.openxmlformats-officedocument.spreadsheetml.table+xml"/>
  <Override PartName="/xl/charts/chart8.xml" ContentType="application/vnd.openxmlformats-officedocument.drawingml.chart+xml"/>
  <Override PartName="/xl/charts/style9.xml" ContentType="application/vnd.ms-office.chartstyle+xml"/>
  <Override PartName="/xl/charts/colors9.xml" ContentType="application/vnd.ms-office.chartcolorstyle+xml"/>
  <Override PartName="/xl/drawings/drawing7.xml" ContentType="application/vnd.openxmlformats-officedocument.drawing+xml"/>
  <Override PartName="/xl/tables/table11.xml" ContentType="application/vnd.openxmlformats-officedocument.spreadsheetml.table+xml"/>
  <Override PartName="/xl/charts/chart9.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8.xml" ContentType="application/vnd.openxmlformats-officedocument.drawing+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charts/chart10.xml" ContentType="application/vnd.openxmlformats-officedocument.drawingml.chart+xml"/>
  <Override PartName="/xl/charts/style11.xml" ContentType="application/vnd.ms-office.chartstyle+xml"/>
  <Override PartName="/xl/charts/colors11.xml" ContentType="application/vnd.ms-office.chartcolorstyle+xml"/>
  <Override PartName="/xl/charts/chart11.xml" ContentType="application/vnd.openxmlformats-officedocument.drawingml.chart+xml"/>
  <Override PartName="/xl/charts/style12.xml" ContentType="application/vnd.ms-office.chartstyle+xml"/>
  <Override PartName="/xl/charts/colors12.xml" ContentType="application/vnd.ms-office.chartcolorstyle+xml"/>
  <Override PartName="/xl/charts/chart12.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9.xml" ContentType="application/vnd.openxmlformats-officedocument.drawing+xml"/>
  <Override PartName="/xl/tables/table15.xml" ContentType="application/vnd.openxmlformats-officedocument.spreadsheetml.table+xml"/>
  <Override PartName="/xl/charts/chart13.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0.xml" ContentType="application/vnd.openxmlformats-officedocument.drawing+xml"/>
  <Override PartName="/xl/charts/chartEx2.xml" ContentType="application/vnd.ms-office.chartex+xml"/>
  <Override PartName="/xl/charts/style15.xml" ContentType="application/vnd.ms-office.chartstyle+xml"/>
  <Override PartName="/xl/charts/colors15.xml" ContentType="application/vnd.ms-office.chartcolorstyle+xml"/>
  <Override PartName="/xl/drawings/drawing11.xml" ContentType="application/vnd.openxmlformats-officedocument.drawing+xml"/>
  <Override PartName="/xl/tables/table16.xml" ContentType="application/vnd.openxmlformats-officedocument.spreadsheetml.table+xml"/>
  <Override PartName="/xl/charts/chart14.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12.xml" ContentType="application/vnd.openxmlformats-officedocument.drawing+xml"/>
  <Override PartName="/xl/charts/chart15.xml" ContentType="application/vnd.openxmlformats-officedocument.drawingml.chart+xml"/>
  <Override PartName="/xl/charts/style17.xml" ContentType="application/vnd.ms-office.chartstyle+xml"/>
  <Override PartName="/xl/charts/colors17.xml" ContentType="application/vnd.ms-office.chartcolorstyle+xml"/>
  <Override PartName="/xl/tables/table17.xml" ContentType="application/vnd.openxmlformats-officedocument.spreadsheetml.table+xml"/>
  <Override PartName="/xl/drawings/drawing13.xml" ContentType="application/vnd.openxmlformats-officedocument.drawing+xml"/>
  <Override PartName="/xl/charts/chart16.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14.xml" ContentType="application/vnd.openxmlformats-officedocument.drawingml.chartshapes+xml"/>
  <Override PartName="/xl/charts/chart17.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15.xml" ContentType="application/vnd.openxmlformats-officedocument.drawingml.chartshapes+xml"/>
  <Override PartName="/xl/charts/chart18.xml" ContentType="application/vnd.openxmlformats-officedocument.drawingml.chart+xml"/>
  <Override PartName="/xl/charts/style20.xml" ContentType="application/vnd.ms-office.chartstyle+xml"/>
  <Override PartName="/xl/charts/colors20.xml" ContentType="application/vnd.ms-office.chartcolorstyle+xml"/>
  <Override PartName="/xl/charts/chart19.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16.xml" ContentType="application/vnd.openxmlformats-officedocument.drawing+xml"/>
  <Override PartName="/xl/charts/chart20.xml" ContentType="application/vnd.openxmlformats-officedocument.drawingml.chart+xml"/>
  <Override PartName="/xl/charts/style22.xml" ContentType="application/vnd.ms-office.chartstyle+xml"/>
  <Override PartName="/xl/charts/colors22.xml" ContentType="application/vnd.ms-office.chartcolorstyle+xml"/>
  <Override PartName="/xl/charts/chart21.xml" ContentType="application/vnd.openxmlformats-officedocument.drawingml.chart+xml"/>
  <Override PartName="/xl/charts/style23.xml" ContentType="application/vnd.ms-office.chartstyle+xml"/>
  <Override PartName="/xl/charts/colors23.xml" ContentType="application/vnd.ms-office.chartcolorstyle+xml"/>
  <Override PartName="/xl/charts/chart22.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17.xml" ContentType="application/vnd.openxmlformats-officedocument.drawing+xml"/>
  <Override PartName="/xl/charts/chart23.xml" ContentType="application/vnd.openxmlformats-officedocument.drawingml.chart+xml"/>
  <Override PartName="/xl/charts/style25.xml" ContentType="application/vnd.ms-office.chartstyle+xml"/>
  <Override PartName="/xl/charts/colors25.xml" ContentType="application/vnd.ms-office.chartcolorstyle+xml"/>
  <Override PartName="/xl/tables/table18.xml" ContentType="application/vnd.openxmlformats-officedocument.spreadsheetml.table+xml"/>
  <Override PartName="/xl/queryTables/queryTable1.xml" ContentType="application/vnd.openxmlformats-officedocument.spreadsheetml.queryTable+xml"/>
  <Override PartName="/xl/tables/table19.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updateLinks="always" codeName="ThisWorkbook" hidePivotFieldList="1" defaultThemeVersion="166925"/>
  <mc:AlternateContent xmlns:mc="http://schemas.openxmlformats.org/markup-compatibility/2006">
    <mc:Choice Requires="x15">
      <x15ac:absPath xmlns:x15ac="http://schemas.microsoft.com/office/spreadsheetml/2010/11/ac" url="C:\Users\jleene\code\12129-ic006-system-rel-mtbfp\data\"/>
    </mc:Choice>
  </mc:AlternateContent>
  <xr:revisionPtr revIDLastSave="0" documentId="8_{DB1BD412-310A-4ABB-B4FF-B50BA4A9CF1A}" xr6:coauthVersionLast="47" xr6:coauthVersionMax="47" xr10:uidLastSave="{00000000-0000-0000-0000-000000000000}"/>
  <bookViews>
    <workbookView xWindow="57480" yWindow="-120" windowWidth="29040" windowHeight="15720" tabRatio="947" firstSheet="5" activeTab="5" xr2:uid="{C1C551D5-6F05-46D5-AEDA-E0DF4931C585}"/>
  </bookViews>
  <sheets>
    <sheet name="5000_Fleet" sheetId="25" r:id="rId1"/>
    <sheet name="List" sheetId="39" r:id="rId2"/>
    <sheet name="Daily Run Hours" sheetId="2" r:id="rId3"/>
    <sheet name="FC-AV Look up" sheetId="29" r:id="rId4"/>
    <sheet name="Hit Rate Waterfall" sheetId="34" state="hidden" r:id="rId5"/>
    <sheet name="Error_Log" sheetId="1" r:id="rId6"/>
    <sheet name="Sheet1" sheetId="52" r:id="rId7"/>
    <sheet name="Summary" sheetId="31" r:id="rId8"/>
    <sheet name="13_week_graph" sheetId="49" r:id="rId9"/>
    <sheet name="13_week_graph_" sheetId="50" r:id="rId10"/>
    <sheet name="Overview" sheetId="43" state="hidden" r:id="rId11"/>
    <sheet name="MTBF(u+p)" sheetId="35" r:id="rId12"/>
    <sheet name="Pivot" sheetId="7" state="hidden" r:id="rId13"/>
    <sheet name="MTBF graph_FIELD" sheetId="27" r:id="rId14"/>
    <sheet name="MTBF graph_GY86" sheetId="41" state="hidden" r:id="rId15"/>
    <sheet name="MTBF graph_vs_ROW" sheetId="32" state="hidden" r:id="rId16"/>
    <sheet name="MTBF graph_CR51" sheetId="11" state="hidden" r:id="rId17"/>
    <sheet name="Waterfall" sheetId="8" state="hidden" r:id="rId18"/>
    <sheet name="MTBF graph_EX04" sheetId="42" state="hidden" r:id="rId19"/>
    <sheet name="Batch MTBF" sheetId="38" r:id="rId20"/>
    <sheet name="MTBF(u+p) total report EZ60" sheetId="18" state="hidden" r:id="rId21"/>
    <sheet name="AV&amp;Utilization" sheetId="33" r:id="rId22"/>
    <sheet name="MTBF_hits_comparison" sheetId="40" r:id="rId23"/>
    <sheet name="Waterfall EZ60" sheetId="28" state="hidden" r:id="rId24"/>
    <sheet name="AIR_dump" sheetId="24" r:id="rId25"/>
    <sheet name="Line-items-definitions" sheetId="51" r:id="rId26"/>
    <sheet name="protos" sheetId="53" r:id="rId27"/>
  </sheets>
  <definedNames>
    <definedName name="_xlnm._FilterDatabase" localSheetId="2" hidden="1">'Daily Run Hours'!$A$3:$H$306</definedName>
    <definedName name="_xlnm._FilterDatabase" localSheetId="5" hidden="1">Error_Log!$AB$1:$AB$1</definedName>
    <definedName name="_xlnm._FilterDatabase" localSheetId="3" hidden="1">'FC-AV Look up'!$A$1:$B$38</definedName>
    <definedName name="_xlnm._FilterDatabase" localSheetId="11" hidden="1">'MTBF(u+p)'!$J$1:$L$2</definedName>
    <definedName name="_xlnm._FilterDatabase" localSheetId="20" hidden="1">'MTBF(u+p) total report EZ60'!$B$4:$Q$49</definedName>
    <definedName name="_xlnm._FilterDatabase" localSheetId="7" hidden="1">Summary!$A$6:$Q$84</definedName>
    <definedName name="_xlchart.v1.0" hidden="1">'Hit Rate Waterfall'!$A$48:$A$58</definedName>
    <definedName name="_xlchart.v1.1" hidden="1">'Hit Rate Waterfall'!$B$48:$B$58</definedName>
    <definedName name="_xlchart.v1.2" hidden="1">Waterfall!$K$7:$K$24</definedName>
    <definedName name="_xlchart.v1.3" hidden="1">Waterfall!$L$7:$L$24</definedName>
    <definedName name="AIR2_">Overview!$B$41:$K$52</definedName>
    <definedName name="ErrorLog">Errorlog_table[#All]</definedName>
    <definedName name="ExternalData_2" localSheetId="24" hidden="1">AIR_dump!$A$1:$T$422</definedName>
    <definedName name="now_summary">Summary!$D$2</definedName>
    <definedName name="offset">'Daily Run Hours'!$I$1</definedName>
    <definedName name="recon">"recon"</definedName>
    <definedName name="SummaryX">Summary!$A$6:$Q$74</definedName>
    <definedName name="WK">'Daily Run Hours'!#REF!</definedName>
  </definedNames>
  <calcPr calcId="191029"/>
  <pivotCaches>
    <pivotCache cacheId="0" r:id="rId2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179" i="1" l="1"/>
  <c r="Y180" i="1"/>
  <c r="B180" i="1" l="1"/>
  <c r="D180" i="1"/>
  <c r="AB180" i="1" s="1"/>
  <c r="E180" i="1"/>
  <c r="J180" i="1"/>
  <c r="O180" i="1"/>
  <c r="X180" i="1" s="1"/>
  <c r="P180" i="1"/>
  <c r="S180" i="1" a="1"/>
  <c r="S180" i="1" s="1"/>
  <c r="W180" i="1"/>
  <c r="Q180" i="1" a="1"/>
  <c r="Q180" i="1" s="1"/>
  <c r="Z180" i="1"/>
  <c r="AA180" i="1"/>
  <c r="AC180" i="1"/>
  <c r="AD180" i="1"/>
  <c r="AE180" i="1"/>
  <c r="B179" i="1"/>
  <c r="D179" i="1"/>
  <c r="AB179" i="1" s="1"/>
  <c r="E179" i="1"/>
  <c r="J179" i="1"/>
  <c r="O179" i="1"/>
  <c r="X179" i="1" s="1"/>
  <c r="P179" i="1"/>
  <c r="S179" i="1" a="1"/>
  <c r="S179" i="1" s="1"/>
  <c r="W179" i="1"/>
  <c r="Q179" i="1" a="1"/>
  <c r="Q179" i="1" s="1"/>
  <c r="Z179" i="1"/>
  <c r="AA179" i="1"/>
  <c r="AC179" i="1"/>
  <c r="AD179" i="1"/>
  <c r="AE179" i="1"/>
  <c r="F179" i="1" l="1"/>
  <c r="T179" i="1" s="1"/>
  <c r="F180" i="1"/>
  <c r="T180" i="1" s="1"/>
  <c r="R180" i="1" a="1"/>
  <c r="R180" i="1" s="1"/>
  <c r="R179" i="1" a="1"/>
  <c r="R179" i="1" s="1"/>
  <c r="Y174" i="1" l="1"/>
  <c r="R174" i="1" s="1" a="1"/>
  <c r="R174" i="1" s="1"/>
  <c r="Y176" i="1"/>
  <c r="Q176" i="1" s="1" a="1"/>
  <c r="Q176" i="1" s="1"/>
  <c r="Y178" i="1"/>
  <c r="Q178" i="1" s="1" a="1"/>
  <c r="Q178" i="1" s="1"/>
  <c r="Y175" i="1"/>
  <c r="Q175" i="1" s="1" a="1"/>
  <c r="Q175" i="1" s="1"/>
  <c r="Y177" i="1"/>
  <c r="Q177" i="1" s="1" a="1"/>
  <c r="Q177" i="1" s="1"/>
  <c r="O174" i="1"/>
  <c r="X174" i="1" s="1"/>
  <c r="O176" i="1"/>
  <c r="X176" i="1" s="1"/>
  <c r="O178" i="1"/>
  <c r="X178" i="1" s="1"/>
  <c r="O175" i="1"/>
  <c r="X175" i="1" s="1"/>
  <c r="O177" i="1"/>
  <c r="X177" i="1" s="1"/>
  <c r="D177" i="1"/>
  <c r="D175" i="1"/>
  <c r="D178" i="1"/>
  <c r="D176" i="1"/>
  <c r="D174" i="1"/>
  <c r="B174" i="1"/>
  <c r="B176" i="1"/>
  <c r="B178" i="1"/>
  <c r="B175" i="1"/>
  <c r="B177" i="1"/>
  <c r="E174" i="1"/>
  <c r="E176" i="1"/>
  <c r="E178" i="1"/>
  <c r="E175" i="1"/>
  <c r="E177" i="1"/>
  <c r="J174" i="1"/>
  <c r="J176" i="1"/>
  <c r="J178" i="1"/>
  <c r="J175" i="1"/>
  <c r="J177" i="1"/>
  <c r="P174" i="1"/>
  <c r="P176" i="1"/>
  <c r="P178" i="1"/>
  <c r="P175" i="1"/>
  <c r="P177" i="1"/>
  <c r="S174" i="1" a="1"/>
  <c r="S174" i="1" s="1"/>
  <c r="S176" i="1" a="1"/>
  <c r="S176" i="1" s="1"/>
  <c r="S178" i="1" a="1"/>
  <c r="S178" i="1" s="1"/>
  <c r="S175" i="1" a="1"/>
  <c r="S175" i="1" s="1"/>
  <c r="S177" i="1" a="1"/>
  <c r="S177" i="1" s="1"/>
  <c r="W174" i="1"/>
  <c r="W176" i="1"/>
  <c r="W178" i="1"/>
  <c r="W175" i="1"/>
  <c r="W177" i="1"/>
  <c r="Z174" i="1"/>
  <c r="Z176" i="1"/>
  <c r="Z178" i="1"/>
  <c r="Z175" i="1"/>
  <c r="Z177" i="1"/>
  <c r="AA174" i="1"/>
  <c r="AA176" i="1"/>
  <c r="AA178" i="1"/>
  <c r="AA175" i="1"/>
  <c r="AA177" i="1"/>
  <c r="AC174" i="1"/>
  <c r="AC176" i="1"/>
  <c r="AC178" i="1"/>
  <c r="AC175" i="1"/>
  <c r="AC177" i="1"/>
  <c r="AD174" i="1"/>
  <c r="AD176" i="1"/>
  <c r="AD178" i="1"/>
  <c r="AD175" i="1"/>
  <c r="AD177" i="1"/>
  <c r="AE174" i="1"/>
  <c r="AE176" i="1"/>
  <c r="AE178" i="1"/>
  <c r="AE175" i="1"/>
  <c r="AE177" i="1"/>
  <c r="O155" i="1"/>
  <c r="O154" i="1"/>
  <c r="Y166" i="1"/>
  <c r="Y170" i="1"/>
  <c r="Y167" i="1"/>
  <c r="Y173" i="1"/>
  <c r="Y168" i="1"/>
  <c r="Y169" i="1"/>
  <c r="AB175" i="1" l="1"/>
  <c r="F175" i="1"/>
  <c r="T175" i="1" s="1"/>
  <c r="AB174" i="1"/>
  <c r="F174" i="1"/>
  <c r="T174" i="1" s="1"/>
  <c r="AB178" i="1"/>
  <c r="F178" i="1"/>
  <c r="T178" i="1" s="1"/>
  <c r="AB177" i="1"/>
  <c r="F177" i="1"/>
  <c r="T177" i="1" s="1"/>
  <c r="AB176" i="1"/>
  <c r="F176" i="1"/>
  <c r="T176" i="1" s="1"/>
  <c r="Q174" i="1" a="1"/>
  <c r="Q174" i="1" s="1"/>
  <c r="R177" i="1" a="1"/>
  <c r="R177" i="1" s="1"/>
  <c r="R175" i="1" a="1"/>
  <c r="R175" i="1" s="1"/>
  <c r="R178" i="1" a="1"/>
  <c r="R178" i="1" s="1"/>
  <c r="R176" i="1" a="1"/>
  <c r="R176" i="1" s="1"/>
  <c r="Y172" i="1"/>
  <c r="R172" i="1" s="1" a="1"/>
  <c r="R172" i="1" s="1"/>
  <c r="Y171" i="1"/>
  <c r="R171" i="1" s="1" a="1"/>
  <c r="R171" i="1" s="1"/>
  <c r="Y165" i="1"/>
  <c r="Q165" i="1" s="1" a="1"/>
  <c r="Q165" i="1" s="1"/>
  <c r="B170" i="1"/>
  <c r="B167" i="1"/>
  <c r="B173" i="1"/>
  <c r="B168" i="1"/>
  <c r="B169" i="1"/>
  <c r="B171" i="1"/>
  <c r="B172" i="1"/>
  <c r="D170" i="1"/>
  <c r="D167" i="1"/>
  <c r="D173" i="1"/>
  <c r="D168" i="1"/>
  <c r="D169" i="1"/>
  <c r="D171" i="1"/>
  <c r="F171" i="1" s="1"/>
  <c r="D172" i="1"/>
  <c r="E170" i="1"/>
  <c r="E167" i="1"/>
  <c r="E173" i="1"/>
  <c r="E168" i="1"/>
  <c r="E169" i="1"/>
  <c r="E171" i="1"/>
  <c r="E172" i="1"/>
  <c r="J170" i="1"/>
  <c r="J167" i="1"/>
  <c r="J173" i="1"/>
  <c r="J168" i="1"/>
  <c r="J169" i="1"/>
  <c r="J171" i="1"/>
  <c r="J172" i="1"/>
  <c r="O168" i="1"/>
  <c r="X168" i="1" s="1"/>
  <c r="O169" i="1"/>
  <c r="X169" i="1" s="1"/>
  <c r="O171" i="1"/>
  <c r="X171" i="1" s="1"/>
  <c r="O172" i="1"/>
  <c r="X172" i="1" s="1"/>
  <c r="P168" i="1"/>
  <c r="P169" i="1"/>
  <c r="P171" i="1"/>
  <c r="P172" i="1"/>
  <c r="S168" i="1" a="1"/>
  <c r="S168" i="1" s="1"/>
  <c r="S169" i="1" a="1"/>
  <c r="S169" i="1" s="1"/>
  <c r="S171" i="1" a="1"/>
  <c r="S171" i="1" s="1"/>
  <c r="S172" i="1" a="1"/>
  <c r="S172" i="1" s="1"/>
  <c r="W170" i="1"/>
  <c r="W167" i="1"/>
  <c r="W173" i="1"/>
  <c r="W168" i="1"/>
  <c r="W169" i="1"/>
  <c r="W171" i="1"/>
  <c r="W172" i="1"/>
  <c r="Q168" i="1" a="1"/>
  <c r="Q168" i="1" s="1"/>
  <c r="Q169" i="1" a="1"/>
  <c r="Q169" i="1" s="1"/>
  <c r="Z170" i="1"/>
  <c r="Z167" i="1"/>
  <c r="Z173" i="1"/>
  <c r="Z168" i="1"/>
  <c r="Z169" i="1"/>
  <c r="Z171" i="1"/>
  <c r="Z172" i="1"/>
  <c r="AA170" i="1"/>
  <c r="AA167" i="1"/>
  <c r="AA173" i="1"/>
  <c r="AA168" i="1"/>
  <c r="AA169" i="1"/>
  <c r="AA171" i="1"/>
  <c r="AA172" i="1"/>
  <c r="AC168" i="1"/>
  <c r="AC169" i="1"/>
  <c r="AC171" i="1"/>
  <c r="AC172" i="1"/>
  <c r="AD170" i="1"/>
  <c r="AD167" i="1"/>
  <c r="AD173" i="1"/>
  <c r="AD168" i="1"/>
  <c r="AD169" i="1"/>
  <c r="AD171" i="1"/>
  <c r="AD172" i="1"/>
  <c r="AE170" i="1"/>
  <c r="AE167" i="1"/>
  <c r="AE173" i="1"/>
  <c r="AE168" i="1"/>
  <c r="AE169" i="1"/>
  <c r="AE171" i="1"/>
  <c r="AE172" i="1"/>
  <c r="O165" i="1"/>
  <c r="X165" i="1" s="1"/>
  <c r="B165" i="1"/>
  <c r="B166" i="1"/>
  <c r="D165" i="1"/>
  <c r="D166" i="1"/>
  <c r="E165" i="1"/>
  <c r="E166" i="1"/>
  <c r="J165" i="1"/>
  <c r="J166" i="1"/>
  <c r="O166" i="1"/>
  <c r="X166" i="1" s="1"/>
  <c r="P165" i="1"/>
  <c r="P166" i="1"/>
  <c r="S165" i="1" a="1"/>
  <c r="S165" i="1" s="1"/>
  <c r="S166" i="1" a="1"/>
  <c r="S166" i="1" s="1"/>
  <c r="W165" i="1"/>
  <c r="W166" i="1"/>
  <c r="Q166" i="1" a="1"/>
  <c r="Q166" i="1" s="1"/>
  <c r="Z166" i="1"/>
  <c r="AA165" i="1"/>
  <c r="AA166" i="1"/>
  <c r="AC165" i="1"/>
  <c r="AC166" i="1"/>
  <c r="AD165" i="1"/>
  <c r="AD166" i="1"/>
  <c r="AE165" i="1"/>
  <c r="AE166" i="1"/>
  <c r="Y159" i="1"/>
  <c r="Y163" i="1"/>
  <c r="Y164" i="1"/>
  <c r="Y161" i="1"/>
  <c r="Y160" i="1"/>
  <c r="Y162" i="1"/>
  <c r="F172" i="1" l="1"/>
  <c r="T172" i="1" s="1"/>
  <c r="F169" i="1"/>
  <c r="T169" i="1" s="1"/>
  <c r="F168" i="1"/>
  <c r="T168" i="1" s="1"/>
  <c r="F167" i="1"/>
  <c r="T167" i="1" s="1"/>
  <c r="F173" i="1"/>
  <c r="T173" i="1" s="1"/>
  <c r="F170" i="1"/>
  <c r="T170" i="1" s="1"/>
  <c r="F166" i="1"/>
  <c r="T166" i="1" s="1"/>
  <c r="AB168" i="1"/>
  <c r="AB167" i="1"/>
  <c r="AB165" i="1"/>
  <c r="F165" i="1"/>
  <c r="T165" i="1" s="1"/>
  <c r="AB170" i="1"/>
  <c r="AB172" i="1"/>
  <c r="AB171" i="1"/>
  <c r="T171" i="1"/>
  <c r="AB166" i="1"/>
  <c r="AB169" i="1"/>
  <c r="AB173" i="1"/>
  <c r="R169" i="1" a="1"/>
  <c r="R169" i="1" s="1"/>
  <c r="R168" i="1" a="1"/>
  <c r="R168" i="1" s="1"/>
  <c r="Q171" i="1" a="1"/>
  <c r="Q171" i="1" s="1"/>
  <c r="Q172" i="1" a="1"/>
  <c r="Q172" i="1" s="1"/>
  <c r="R166" i="1" a="1"/>
  <c r="R166" i="1" s="1"/>
  <c r="R165" i="1" a="1"/>
  <c r="R165" i="1" s="1"/>
  <c r="J2" i="1"/>
  <c r="O2" i="1"/>
  <c r="P2" i="1"/>
  <c r="S2" i="1" a="1"/>
  <c r="S2" i="1" s="1"/>
  <c r="J3" i="1"/>
  <c r="O3" i="1"/>
  <c r="P3" i="1"/>
  <c r="S3" i="1" a="1"/>
  <c r="S3" i="1" s="1"/>
  <c r="J4" i="1"/>
  <c r="O4" i="1"/>
  <c r="P4" i="1"/>
  <c r="R4" i="1"/>
  <c r="S4" i="1" a="1"/>
  <c r="S4" i="1" s="1"/>
  <c r="J5" i="1"/>
  <c r="O5" i="1"/>
  <c r="P5" i="1"/>
  <c r="S5" i="1" a="1"/>
  <c r="S5" i="1" s="1"/>
  <c r="J6" i="1"/>
  <c r="O6" i="1"/>
  <c r="P6" i="1"/>
  <c r="R6" i="1"/>
  <c r="S6" i="1" a="1"/>
  <c r="S6" i="1" s="1"/>
  <c r="B159" i="1"/>
  <c r="B163" i="1"/>
  <c r="B164" i="1"/>
  <c r="B161" i="1"/>
  <c r="B160" i="1"/>
  <c r="B162" i="1"/>
  <c r="D159" i="1"/>
  <c r="D163" i="1"/>
  <c r="D164" i="1"/>
  <c r="D161" i="1"/>
  <c r="D160" i="1"/>
  <c r="D162" i="1"/>
  <c r="E159" i="1"/>
  <c r="E163" i="1"/>
  <c r="E164" i="1"/>
  <c r="E161" i="1"/>
  <c r="E160" i="1"/>
  <c r="E162" i="1"/>
  <c r="J159" i="1"/>
  <c r="J163" i="1"/>
  <c r="J164" i="1"/>
  <c r="J161" i="1"/>
  <c r="J160" i="1"/>
  <c r="J162" i="1"/>
  <c r="O159" i="1"/>
  <c r="X159" i="1" s="1"/>
  <c r="O163" i="1"/>
  <c r="X163" i="1" s="1"/>
  <c r="O164" i="1"/>
  <c r="X164" i="1" s="1"/>
  <c r="O161" i="1"/>
  <c r="X161" i="1" s="1"/>
  <c r="O160" i="1"/>
  <c r="X160" i="1" s="1"/>
  <c r="O162" i="1"/>
  <c r="X162" i="1" s="1"/>
  <c r="P159" i="1"/>
  <c r="P163" i="1"/>
  <c r="P164" i="1"/>
  <c r="P161" i="1"/>
  <c r="P160" i="1"/>
  <c r="P162" i="1"/>
  <c r="S159" i="1" a="1"/>
  <c r="S159" i="1" s="1"/>
  <c r="S163" i="1" a="1"/>
  <c r="S163" i="1" s="1"/>
  <c r="S164" i="1" a="1"/>
  <c r="S164" i="1" s="1"/>
  <c r="S161" i="1" a="1"/>
  <c r="S161" i="1" s="1"/>
  <c r="S160" i="1" a="1"/>
  <c r="S160" i="1" s="1"/>
  <c r="S162" i="1" a="1"/>
  <c r="S162" i="1" s="1"/>
  <c r="W159" i="1"/>
  <c r="W163" i="1"/>
  <c r="W164" i="1"/>
  <c r="W161" i="1"/>
  <c r="W160" i="1"/>
  <c r="W162" i="1"/>
  <c r="R159" i="1" a="1"/>
  <c r="R159" i="1" s="1"/>
  <c r="R163" i="1" a="1"/>
  <c r="R163" i="1" s="1"/>
  <c r="R164" i="1" a="1"/>
  <c r="R164" i="1" s="1"/>
  <c r="Q161" i="1" a="1"/>
  <c r="Q161" i="1" s="1"/>
  <c r="Q160" i="1" a="1"/>
  <c r="Q160" i="1" s="1"/>
  <c r="Q162" i="1" a="1"/>
  <c r="Q162" i="1" s="1"/>
  <c r="Z159" i="1"/>
  <c r="Z163" i="1"/>
  <c r="Z164" i="1"/>
  <c r="Z161" i="1"/>
  <c r="Z160" i="1"/>
  <c r="Z162" i="1"/>
  <c r="AA159" i="1"/>
  <c r="AA163" i="1"/>
  <c r="AA164" i="1"/>
  <c r="AA161" i="1"/>
  <c r="AA160" i="1"/>
  <c r="AA162" i="1"/>
  <c r="AC159" i="1"/>
  <c r="AC163" i="1"/>
  <c r="AC164" i="1"/>
  <c r="AC161" i="1"/>
  <c r="AC160" i="1"/>
  <c r="AC162" i="1"/>
  <c r="AD159" i="1"/>
  <c r="AD163" i="1"/>
  <c r="AD164" i="1"/>
  <c r="AD161" i="1"/>
  <c r="AD160" i="1"/>
  <c r="AD162" i="1"/>
  <c r="AE159" i="1"/>
  <c r="AE163" i="1"/>
  <c r="AE164" i="1"/>
  <c r="AE161" i="1"/>
  <c r="AE160" i="1"/>
  <c r="AE162" i="1"/>
  <c r="O156" i="1"/>
  <c r="O151" i="1"/>
  <c r="F159" i="1" l="1"/>
  <c r="T159" i="1" s="1"/>
  <c r="F163" i="1"/>
  <c r="T163" i="1" s="1"/>
  <c r="F162" i="1"/>
  <c r="T162" i="1" s="1"/>
  <c r="AB160" i="1"/>
  <c r="F160" i="1"/>
  <c r="T160" i="1" s="1"/>
  <c r="AB161" i="1"/>
  <c r="F161" i="1"/>
  <c r="T161" i="1" s="1"/>
  <c r="AB164" i="1"/>
  <c r="F164" i="1"/>
  <c r="T164" i="1" s="1"/>
  <c r="AB162" i="1"/>
  <c r="AB163" i="1"/>
  <c r="AB159" i="1"/>
  <c r="Q164" i="1" a="1"/>
  <c r="Q164" i="1" s="1"/>
  <c r="Q163" i="1" a="1"/>
  <c r="Q163" i="1" s="1"/>
  <c r="R160" i="1" a="1"/>
  <c r="R160" i="1" s="1"/>
  <c r="R162" i="1" a="1"/>
  <c r="R162" i="1" s="1"/>
  <c r="R161" i="1" a="1"/>
  <c r="R161" i="1" s="1"/>
  <c r="Q159" i="1" a="1"/>
  <c r="Q159" i="1" s="1"/>
  <c r="Y152" i="1"/>
  <c r="Q152" i="1" s="1" a="1"/>
  <c r="Q152" i="1" s="1"/>
  <c r="Y153" i="1"/>
  <c r="R153" i="1" s="1" a="1"/>
  <c r="R153" i="1" s="1"/>
  <c r="Y154" i="1"/>
  <c r="R154" i="1" s="1" a="1"/>
  <c r="R154" i="1" s="1"/>
  <c r="Y155" i="1"/>
  <c r="R155" i="1" s="1" a="1"/>
  <c r="R155" i="1" s="1"/>
  <c r="Y158" i="1"/>
  <c r="R158" i="1" s="1" a="1"/>
  <c r="R158" i="1" s="1"/>
  <c r="Y157" i="1"/>
  <c r="R157" i="1" s="1" a="1"/>
  <c r="R157" i="1" s="1"/>
  <c r="Y156" i="1"/>
  <c r="R156" i="1" s="1" a="1"/>
  <c r="R156" i="1" s="1"/>
  <c r="S156" i="1" a="1"/>
  <c r="S156" i="1" s="1"/>
  <c r="B30" i="27"/>
  <c r="B31" i="27"/>
  <c r="B32" i="27"/>
  <c r="B33" i="27"/>
  <c r="B34" i="27"/>
  <c r="B35" i="27"/>
  <c r="B36" i="27"/>
  <c r="E35" i="27"/>
  <c r="F35" i="27"/>
  <c r="E36" i="27"/>
  <c r="F36" i="27"/>
  <c r="E152" i="1"/>
  <c r="E153" i="1"/>
  <c r="E154" i="1"/>
  <c r="E155" i="1"/>
  <c r="E158" i="1"/>
  <c r="E157" i="1"/>
  <c r="E156" i="1"/>
  <c r="D152" i="1"/>
  <c r="D153" i="1"/>
  <c r="AB153" i="1" s="1"/>
  <c r="D154" i="1"/>
  <c r="AB154" i="1" s="1"/>
  <c r="D155" i="1"/>
  <c r="D158" i="1"/>
  <c r="D157" i="1"/>
  <c r="D156" i="1"/>
  <c r="B152" i="1"/>
  <c r="B153" i="1"/>
  <c r="B154" i="1"/>
  <c r="B155" i="1"/>
  <c r="B158" i="1"/>
  <c r="B157" i="1"/>
  <c r="B156" i="1"/>
  <c r="J152" i="1"/>
  <c r="J153" i="1"/>
  <c r="J154" i="1"/>
  <c r="J155" i="1"/>
  <c r="J158" i="1"/>
  <c r="J157" i="1"/>
  <c r="J156" i="1"/>
  <c r="O152" i="1"/>
  <c r="X152" i="1" s="1"/>
  <c r="O153" i="1"/>
  <c r="X153" i="1" s="1"/>
  <c r="X154" i="1"/>
  <c r="X155" i="1"/>
  <c r="O158" i="1"/>
  <c r="X158" i="1" s="1"/>
  <c r="O157" i="1"/>
  <c r="X157" i="1" s="1"/>
  <c r="X156" i="1"/>
  <c r="P152" i="1"/>
  <c r="P153" i="1"/>
  <c r="P154" i="1"/>
  <c r="P155" i="1"/>
  <c r="P158" i="1"/>
  <c r="P157" i="1"/>
  <c r="P156" i="1"/>
  <c r="S152" i="1" a="1"/>
  <c r="S152" i="1" s="1"/>
  <c r="S153" i="1" a="1"/>
  <c r="S153" i="1" s="1"/>
  <c r="S158" i="1" a="1"/>
  <c r="S158" i="1" s="1"/>
  <c r="W152" i="1"/>
  <c r="W153" i="1"/>
  <c r="W154" i="1"/>
  <c r="W155" i="1"/>
  <c r="W158" i="1"/>
  <c r="W157" i="1"/>
  <c r="W156" i="1"/>
  <c r="Z152" i="1"/>
  <c r="Z153" i="1"/>
  <c r="Z154" i="1"/>
  <c r="Z155" i="1"/>
  <c r="Z158" i="1"/>
  <c r="Z157" i="1"/>
  <c r="Z156" i="1"/>
  <c r="AA152" i="1"/>
  <c r="AA153" i="1"/>
  <c r="AA154" i="1"/>
  <c r="AA155" i="1"/>
  <c r="AA158" i="1"/>
  <c r="AA157" i="1"/>
  <c r="AA156" i="1"/>
  <c r="AC152" i="1"/>
  <c r="AC153" i="1"/>
  <c r="AC154" i="1"/>
  <c r="AC155" i="1"/>
  <c r="AC158" i="1"/>
  <c r="AC157" i="1"/>
  <c r="AC156" i="1"/>
  <c r="AD152" i="1"/>
  <c r="AD153" i="1"/>
  <c r="AD154" i="1"/>
  <c r="AD155" i="1"/>
  <c r="AD158" i="1"/>
  <c r="AD157" i="1"/>
  <c r="AD156" i="1"/>
  <c r="AE152" i="1"/>
  <c r="AE153" i="1"/>
  <c r="AE154" i="1"/>
  <c r="AE155" i="1"/>
  <c r="AE158" i="1"/>
  <c r="AE157" i="1"/>
  <c r="AE156" i="1"/>
  <c r="Y148" i="1"/>
  <c r="R148" i="1" s="1" a="1"/>
  <c r="R148" i="1" s="1"/>
  <c r="Y149" i="1"/>
  <c r="R149" i="1" s="1" a="1"/>
  <c r="R149" i="1" s="1"/>
  <c r="Y151" i="1"/>
  <c r="Y147" i="1"/>
  <c r="Q147" i="1" s="1" a="1"/>
  <c r="Q147" i="1" s="1"/>
  <c r="Y150" i="1"/>
  <c r="R150" i="1" s="1" a="1"/>
  <c r="R150" i="1" s="1"/>
  <c r="J81" i="31"/>
  <c r="J82" i="31"/>
  <c r="J83" i="31"/>
  <c r="J84" i="31"/>
  <c r="J85" i="31"/>
  <c r="J86" i="31"/>
  <c r="J87" i="31"/>
  <c r="J88" i="31"/>
  <c r="J89" i="31"/>
  <c r="O147" i="1"/>
  <c r="X147" i="1" s="1"/>
  <c r="X151" i="1"/>
  <c r="O149" i="1"/>
  <c r="X149" i="1" s="1"/>
  <c r="O148" i="1"/>
  <c r="X148" i="1" s="1"/>
  <c r="O145" i="1"/>
  <c r="X145" i="1" s="1"/>
  <c r="O146" i="1"/>
  <c r="X146" i="1" s="1"/>
  <c r="O143" i="1"/>
  <c r="O140" i="1"/>
  <c r="O144" i="1"/>
  <c r="O142" i="1"/>
  <c r="O141" i="1"/>
  <c r="O139" i="1"/>
  <c r="O138" i="1"/>
  <c r="O137" i="1"/>
  <c r="O136" i="1"/>
  <c r="O135" i="1"/>
  <c r="O134" i="1"/>
  <c r="O133" i="1"/>
  <c r="O132" i="1"/>
  <c r="O131" i="1"/>
  <c r="O130" i="1"/>
  <c r="O129" i="1"/>
  <c r="O128" i="1"/>
  <c r="O127" i="1"/>
  <c r="O126" i="1"/>
  <c r="O125" i="1"/>
  <c r="O124" i="1"/>
  <c r="O123" i="1"/>
  <c r="O122" i="1"/>
  <c r="O121" i="1"/>
  <c r="O120" i="1"/>
  <c r="O119" i="1"/>
  <c r="O118" i="1"/>
  <c r="O117" i="1"/>
  <c r="O116" i="1"/>
  <c r="O115" i="1"/>
  <c r="O114" i="1"/>
  <c r="O113" i="1"/>
  <c r="O110" i="1"/>
  <c r="O111" i="1"/>
  <c r="O112" i="1"/>
  <c r="O107" i="1"/>
  <c r="O109" i="1"/>
  <c r="O108" i="1"/>
  <c r="O105" i="1"/>
  <c r="O106" i="1"/>
  <c r="O104" i="1"/>
  <c r="O98" i="1"/>
  <c r="O95" i="1"/>
  <c r="O94" i="1"/>
  <c r="O101" i="1"/>
  <c r="O103" i="1"/>
  <c r="O97" i="1"/>
  <c r="O93" i="1"/>
  <c r="O100" i="1"/>
  <c r="O99" i="1"/>
  <c r="O96" i="1"/>
  <c r="O102" i="1"/>
  <c r="O90" i="1"/>
  <c r="O92" i="1"/>
  <c r="O91" i="1"/>
  <c r="O89" i="1"/>
  <c r="O88" i="1"/>
  <c r="O87" i="1"/>
  <c r="O86" i="1"/>
  <c r="O85" i="1"/>
  <c r="O84" i="1"/>
  <c r="O79" i="1"/>
  <c r="O78" i="1"/>
  <c r="O80" i="1"/>
  <c r="O81" i="1"/>
  <c r="O77" i="1"/>
  <c r="O83" i="1"/>
  <c r="O82" i="1"/>
  <c r="O76" i="1"/>
  <c r="O74" i="1"/>
  <c r="O75" i="1"/>
  <c r="O71" i="1"/>
  <c r="O73" i="1"/>
  <c r="O72" i="1"/>
  <c r="O68" i="1"/>
  <c r="O70" i="1"/>
  <c r="O69" i="1"/>
  <c r="O65" i="1"/>
  <c r="O67" i="1"/>
  <c r="O66" i="1"/>
  <c r="O62" i="1"/>
  <c r="O64" i="1"/>
  <c r="O63" i="1"/>
  <c r="O61" i="1"/>
  <c r="O60" i="1"/>
  <c r="O59" i="1"/>
  <c r="O58" i="1"/>
  <c r="O57" i="1"/>
  <c r="O56" i="1"/>
  <c r="O55" i="1"/>
  <c r="O54" i="1"/>
  <c r="O53" i="1"/>
  <c r="O52" i="1"/>
  <c r="O51" i="1"/>
  <c r="O50" i="1"/>
  <c r="O49" i="1"/>
  <c r="O48" i="1"/>
  <c r="O47" i="1"/>
  <c r="O46" i="1"/>
  <c r="O45" i="1"/>
  <c r="O44" i="1"/>
  <c r="O43" i="1"/>
  <c r="O42" i="1"/>
  <c r="O41" i="1"/>
  <c r="O40" i="1"/>
  <c r="O39" i="1"/>
  <c r="O38" i="1"/>
  <c r="O37" i="1"/>
  <c r="O36" i="1"/>
  <c r="O35" i="1"/>
  <c r="O34" i="1"/>
  <c r="O33" i="1"/>
  <c r="O32" i="1"/>
  <c r="O31" i="1"/>
  <c r="O30" i="1"/>
  <c r="O29" i="1"/>
  <c r="O28" i="1"/>
  <c r="O27" i="1"/>
  <c r="O26" i="1"/>
  <c r="O25" i="1"/>
  <c r="O24" i="1"/>
  <c r="O23" i="1"/>
  <c r="O22" i="1"/>
  <c r="O21" i="1"/>
  <c r="O20" i="1"/>
  <c r="O19" i="1"/>
  <c r="O18" i="1"/>
  <c r="O17" i="1"/>
  <c r="O16" i="1"/>
  <c r="O15" i="1"/>
  <c r="O14" i="1"/>
  <c r="O13" i="1"/>
  <c r="O12" i="1"/>
  <c r="O11" i="1"/>
  <c r="O10" i="1"/>
  <c r="O9" i="1"/>
  <c r="O8" i="1"/>
  <c r="O7" i="1"/>
  <c r="O150" i="1"/>
  <c r="X150" i="1" s="1"/>
  <c r="B148" i="1"/>
  <c r="B149" i="1"/>
  <c r="B151" i="1"/>
  <c r="B147" i="1"/>
  <c r="B150" i="1"/>
  <c r="D148" i="1"/>
  <c r="AB148" i="1" s="1"/>
  <c r="D149" i="1"/>
  <c r="AB149" i="1" s="1"/>
  <c r="D151" i="1"/>
  <c r="AB151" i="1" s="1"/>
  <c r="D147" i="1"/>
  <c r="AB147" i="1" s="1"/>
  <c r="D150" i="1"/>
  <c r="AB150" i="1" s="1"/>
  <c r="E148" i="1"/>
  <c r="E149" i="1"/>
  <c r="E151" i="1"/>
  <c r="E147" i="1"/>
  <c r="E150" i="1"/>
  <c r="J148" i="1"/>
  <c r="J149" i="1"/>
  <c r="J151" i="1"/>
  <c r="J147" i="1"/>
  <c r="J150" i="1"/>
  <c r="P148" i="1"/>
  <c r="P149" i="1"/>
  <c r="P151" i="1"/>
  <c r="P147" i="1"/>
  <c r="P150" i="1"/>
  <c r="S148" i="1" a="1"/>
  <c r="S148" i="1" s="1"/>
  <c r="S149" i="1" a="1"/>
  <c r="S149" i="1" s="1"/>
  <c r="S151" i="1" a="1"/>
  <c r="S151" i="1" s="1"/>
  <c r="S147" i="1" a="1"/>
  <c r="S147" i="1" s="1"/>
  <c r="S150" i="1" a="1"/>
  <c r="S150" i="1" s="1"/>
  <c r="W148" i="1"/>
  <c r="W149" i="1"/>
  <c r="W151" i="1"/>
  <c r="W147" i="1"/>
  <c r="W150" i="1"/>
  <c r="Z148" i="1"/>
  <c r="Z149" i="1"/>
  <c r="Z151" i="1"/>
  <c r="Z147" i="1"/>
  <c r="Z150" i="1"/>
  <c r="AA148" i="1"/>
  <c r="AA149" i="1"/>
  <c r="AA151" i="1"/>
  <c r="AA147" i="1"/>
  <c r="AA150" i="1"/>
  <c r="AC148" i="1"/>
  <c r="AC149" i="1"/>
  <c r="AC151" i="1"/>
  <c r="AC147" i="1"/>
  <c r="AC150" i="1"/>
  <c r="AD148" i="1"/>
  <c r="AD149" i="1"/>
  <c r="AD151" i="1"/>
  <c r="AD147" i="1"/>
  <c r="AD150" i="1"/>
  <c r="AE148" i="1"/>
  <c r="AE149" i="1"/>
  <c r="AE151" i="1"/>
  <c r="AE147" i="1"/>
  <c r="AE150" i="1"/>
  <c r="G2" i="31"/>
  <c r="R134" i="1"/>
  <c r="Y145" i="1"/>
  <c r="B145" i="1"/>
  <c r="D145" i="1"/>
  <c r="AB145" i="1" s="1"/>
  <c r="E145" i="1"/>
  <c r="J145" i="1"/>
  <c r="P145" i="1"/>
  <c r="S145" i="1" a="1"/>
  <c r="S145" i="1" s="1"/>
  <c r="W145" i="1"/>
  <c r="Z145" i="1"/>
  <c r="AA145" i="1"/>
  <c r="AC145" i="1"/>
  <c r="AD145" i="1"/>
  <c r="AE145" i="1"/>
  <c r="Y146" i="1"/>
  <c r="R146" i="1" s="1" a="1"/>
  <c r="R146" i="1" s="1"/>
  <c r="B146" i="1"/>
  <c r="D146" i="1"/>
  <c r="AB146" i="1" s="1"/>
  <c r="E146" i="1"/>
  <c r="J146" i="1"/>
  <c r="P146" i="1"/>
  <c r="S146" i="1" a="1"/>
  <c r="S146" i="1" s="1"/>
  <c r="W146" i="1"/>
  <c r="Z146" i="1"/>
  <c r="AA146" i="1"/>
  <c r="AC146" i="1"/>
  <c r="AD146" i="1"/>
  <c r="AE146" i="1"/>
  <c r="AB155" i="1" l="1"/>
  <c r="F155" i="1"/>
  <c r="T155" i="1" s="1"/>
  <c r="F156" i="1"/>
  <c r="T156" i="1" s="1"/>
  <c r="AB157" i="1"/>
  <c r="F157" i="1"/>
  <c r="T157" i="1" s="1"/>
  <c r="AB158" i="1"/>
  <c r="F158" i="1"/>
  <c r="T158" i="1" s="1"/>
  <c r="Q151" i="1" a="1"/>
  <c r="Q151" i="1" s="1"/>
  <c r="R151" i="1" a="1"/>
  <c r="R151" i="1" s="1"/>
  <c r="F152" i="1"/>
  <c r="T152" i="1" s="1"/>
  <c r="F154" i="1"/>
  <c r="T154" i="1" s="1"/>
  <c r="F153" i="1"/>
  <c r="T153" i="1" s="1"/>
  <c r="Q158" i="1" a="1"/>
  <c r="Q158" i="1" s="1"/>
  <c r="R152" i="1" a="1"/>
  <c r="R152" i="1" s="1"/>
  <c r="AB156" i="1"/>
  <c r="AB152" i="1"/>
  <c r="Q156" i="1" a="1"/>
  <c r="Q156" i="1" s="1"/>
  <c r="Q157" i="1" a="1"/>
  <c r="Q157" i="1" s="1"/>
  <c r="Q155" i="1" a="1"/>
  <c r="Q155" i="1" s="1"/>
  <c r="Q154" i="1" a="1"/>
  <c r="Q154" i="1" s="1"/>
  <c r="Q153" i="1" a="1"/>
  <c r="Q153" i="1" s="1"/>
  <c r="F151" i="1"/>
  <c r="T151" i="1" s="1"/>
  <c r="F150" i="1"/>
  <c r="T150" i="1" s="1"/>
  <c r="F148" i="1"/>
  <c r="T148" i="1" s="1"/>
  <c r="F147" i="1"/>
  <c r="T147" i="1" s="1"/>
  <c r="F149" i="1"/>
  <c r="T149" i="1" s="1"/>
  <c r="R147" i="1" a="1"/>
  <c r="R147" i="1" s="1"/>
  <c r="Q150" i="1" a="1"/>
  <c r="Q150" i="1" s="1"/>
  <c r="Q148" i="1" a="1"/>
  <c r="Q148" i="1" s="1"/>
  <c r="Q149" i="1" a="1"/>
  <c r="Q149" i="1" s="1"/>
  <c r="Q145" i="1" a="1"/>
  <c r="Q145" i="1" s="1"/>
  <c r="F145" i="1"/>
  <c r="T145" i="1" s="1"/>
  <c r="F146" i="1"/>
  <c r="T146" i="1" s="1"/>
  <c r="Q146" i="1" a="1"/>
  <c r="Q146" i="1" s="1"/>
  <c r="F141" i="1"/>
  <c r="T141" i="1" s="1"/>
  <c r="Y143" i="1"/>
  <c r="Q143" i="1" s="1" a="1"/>
  <c r="Q143" i="1" s="1"/>
  <c r="Y140" i="1"/>
  <c r="Q140" i="1" s="1" a="1"/>
  <c r="Q140" i="1" s="1"/>
  <c r="Y144" i="1"/>
  <c r="Q144" i="1" s="1" a="1"/>
  <c r="Q144" i="1" s="1"/>
  <c r="Y142" i="1"/>
  <c r="Q142" i="1" s="1" a="1"/>
  <c r="Q142" i="1" s="1"/>
  <c r="Y141" i="1"/>
  <c r="Q141" i="1" s="1" a="1"/>
  <c r="Q141" i="1" s="1"/>
  <c r="Y135" i="1"/>
  <c r="Y130" i="1"/>
  <c r="W143" i="1"/>
  <c r="W140" i="1"/>
  <c r="W144" i="1"/>
  <c r="W142" i="1"/>
  <c r="W141" i="1"/>
  <c r="W135" i="1"/>
  <c r="X143" i="1"/>
  <c r="X140" i="1"/>
  <c r="X144" i="1"/>
  <c r="X142" i="1"/>
  <c r="X141" i="1"/>
  <c r="B142" i="1"/>
  <c r="B144" i="1"/>
  <c r="B140" i="1"/>
  <c r="B143" i="1"/>
  <c r="D142" i="1"/>
  <c r="AB142" i="1" s="1"/>
  <c r="D144" i="1"/>
  <c r="AB144" i="1" s="1"/>
  <c r="D140" i="1"/>
  <c r="D143" i="1"/>
  <c r="AB143" i="1" s="1"/>
  <c r="E142" i="1"/>
  <c r="E144" i="1"/>
  <c r="E140" i="1"/>
  <c r="E143" i="1"/>
  <c r="J140" i="1"/>
  <c r="J143" i="1"/>
  <c r="P142" i="1"/>
  <c r="P144" i="1"/>
  <c r="P140" i="1"/>
  <c r="P143" i="1"/>
  <c r="S142" i="1" a="1"/>
  <c r="S142" i="1" s="1"/>
  <c r="S144" i="1" a="1"/>
  <c r="S144" i="1" s="1"/>
  <c r="S140" i="1" a="1"/>
  <c r="S140" i="1" s="1"/>
  <c r="S143" i="1" a="1"/>
  <c r="S143" i="1" s="1"/>
  <c r="Z142" i="1"/>
  <c r="Z144" i="1"/>
  <c r="Z140" i="1"/>
  <c r="Z143" i="1"/>
  <c r="AA142" i="1"/>
  <c r="AA144" i="1"/>
  <c r="AA140" i="1"/>
  <c r="AA143" i="1"/>
  <c r="AC142" i="1"/>
  <c r="AC144" i="1"/>
  <c r="AC140" i="1"/>
  <c r="AC143" i="1"/>
  <c r="AD142" i="1"/>
  <c r="AD144" i="1"/>
  <c r="AD140" i="1"/>
  <c r="AD143" i="1"/>
  <c r="AE142" i="1"/>
  <c r="AE144" i="1"/>
  <c r="AE140" i="1"/>
  <c r="AE143" i="1"/>
  <c r="B141" i="1"/>
  <c r="P141" i="1"/>
  <c r="S141" i="1" a="1"/>
  <c r="S141" i="1" s="1"/>
  <c r="Z141" i="1"/>
  <c r="AA141" i="1"/>
  <c r="AB141" i="1"/>
  <c r="AC141" i="1"/>
  <c r="AD141" i="1"/>
  <c r="AE141" i="1"/>
  <c r="F143" i="1" l="1"/>
  <c r="T143" i="1" s="1"/>
  <c r="F140" i="1"/>
  <c r="T140" i="1" s="1"/>
  <c r="F142" i="1"/>
  <c r="T142" i="1" s="1"/>
  <c r="F144" i="1"/>
  <c r="T144" i="1" s="1"/>
  <c r="AB140" i="1"/>
  <c r="R143" i="1" a="1"/>
  <c r="R143" i="1" s="1"/>
  <c r="X135" i="1"/>
  <c r="X136" i="1"/>
  <c r="X137" i="1"/>
  <c r="X138" i="1"/>
  <c r="X139" i="1"/>
  <c r="Q135" i="1" a="1"/>
  <c r="Q135" i="1" s="1"/>
  <c r="Y136" i="1"/>
  <c r="Q136" i="1" s="1" a="1"/>
  <c r="Q136" i="1" s="1"/>
  <c r="Y137" i="1"/>
  <c r="Q137" i="1" s="1" a="1"/>
  <c r="Q137" i="1" s="1"/>
  <c r="Y138" i="1"/>
  <c r="R138" i="1" s="1" a="1"/>
  <c r="R138" i="1" s="1"/>
  <c r="Y139" i="1"/>
  <c r="Q139" i="1" s="1" a="1"/>
  <c r="Q139" i="1" s="1"/>
  <c r="B135" i="1"/>
  <c r="B136" i="1"/>
  <c r="B137" i="1"/>
  <c r="B138" i="1"/>
  <c r="B139" i="1"/>
  <c r="D135" i="1"/>
  <c r="D136" i="1"/>
  <c r="D137" i="1"/>
  <c r="D138" i="1"/>
  <c r="AB138" i="1" s="1"/>
  <c r="D139" i="1"/>
  <c r="E135" i="1"/>
  <c r="E136" i="1"/>
  <c r="E137" i="1"/>
  <c r="E138" i="1"/>
  <c r="E139" i="1"/>
  <c r="J135" i="1"/>
  <c r="J136" i="1"/>
  <c r="J137" i="1"/>
  <c r="J138" i="1"/>
  <c r="J139" i="1"/>
  <c r="P135" i="1"/>
  <c r="P136" i="1"/>
  <c r="P137" i="1"/>
  <c r="P138" i="1"/>
  <c r="P139" i="1"/>
  <c r="S135" i="1" a="1"/>
  <c r="S135" i="1" s="1"/>
  <c r="S137" i="1" a="1"/>
  <c r="S137" i="1" s="1"/>
  <c r="S138" i="1" a="1"/>
  <c r="S138" i="1" s="1"/>
  <c r="S139" i="1" a="1"/>
  <c r="S139" i="1" s="1"/>
  <c r="W136" i="1"/>
  <c r="W137" i="1"/>
  <c r="W138" i="1"/>
  <c r="W139" i="1"/>
  <c r="Z135" i="1"/>
  <c r="Z136" i="1"/>
  <c r="Z137" i="1"/>
  <c r="Z138" i="1"/>
  <c r="Z139" i="1"/>
  <c r="AA135" i="1"/>
  <c r="AA136" i="1"/>
  <c r="AA137" i="1"/>
  <c r="AA138" i="1"/>
  <c r="AA139" i="1"/>
  <c r="AC135" i="1"/>
  <c r="AC136" i="1"/>
  <c r="AC137" i="1"/>
  <c r="AC138" i="1"/>
  <c r="AC139" i="1"/>
  <c r="AD135" i="1"/>
  <c r="AD136" i="1"/>
  <c r="AD137" i="1"/>
  <c r="AD138" i="1"/>
  <c r="AD139" i="1"/>
  <c r="AE135" i="1"/>
  <c r="AE136" i="1"/>
  <c r="AE137" i="1"/>
  <c r="AE138" i="1"/>
  <c r="AE139" i="1"/>
  <c r="Y132" i="1"/>
  <c r="Q132" i="1" s="1" a="1"/>
  <c r="Q132" i="1" s="1"/>
  <c r="Y133" i="1"/>
  <c r="Q133" i="1" s="1" a="1"/>
  <c r="Q133" i="1" s="1"/>
  <c r="Y134" i="1"/>
  <c r="Q134" i="1" s="1" a="1"/>
  <c r="Q134" i="1" s="1"/>
  <c r="AA40" i="1"/>
  <c r="AA39" i="1"/>
  <c r="AA38" i="1"/>
  <c r="AA37" i="1"/>
  <c r="AA36" i="1"/>
  <c r="AA35" i="1"/>
  <c r="AA34" i="1"/>
  <c r="AA33" i="1"/>
  <c r="AA32" i="1"/>
  <c r="AA31" i="1"/>
  <c r="AA30" i="1"/>
  <c r="X132" i="1"/>
  <c r="J129" i="1"/>
  <c r="J130" i="1"/>
  <c r="J131" i="1"/>
  <c r="J132" i="1"/>
  <c r="J133" i="1"/>
  <c r="J7" i="1"/>
  <c r="J8" i="1"/>
  <c r="J9" i="1"/>
  <c r="J10" i="1"/>
  <c r="J11" i="1"/>
  <c r="J12" i="1"/>
  <c r="J13" i="1"/>
  <c r="J14" i="1"/>
  <c r="J15" i="1"/>
  <c r="J16" i="1"/>
  <c r="J17" i="1"/>
  <c r="J18" i="1"/>
  <c r="J19" i="1"/>
  <c r="J20" i="1"/>
  <c r="J21" i="1"/>
  <c r="J22" i="1"/>
  <c r="J23" i="1"/>
  <c r="J24" i="1"/>
  <c r="J25" i="1"/>
  <c r="J26" i="1"/>
  <c r="J27" i="1"/>
  <c r="J28" i="1"/>
  <c r="J29" i="1"/>
  <c r="J30" i="1"/>
  <c r="J31" i="1"/>
  <c r="J32" i="1"/>
  <c r="J33" i="1"/>
  <c r="J34" i="1"/>
  <c r="J35" i="1"/>
  <c r="J36" i="1"/>
  <c r="J37" i="1"/>
  <c r="J38" i="1"/>
  <c r="J39" i="1"/>
  <c r="J40" i="1"/>
  <c r="J41" i="1"/>
  <c r="J42" i="1"/>
  <c r="J43" i="1"/>
  <c r="J44" i="1"/>
  <c r="J45" i="1"/>
  <c r="J46" i="1"/>
  <c r="J47" i="1"/>
  <c r="J48" i="1"/>
  <c r="J49" i="1"/>
  <c r="J50" i="1"/>
  <c r="J51" i="1"/>
  <c r="J52" i="1"/>
  <c r="J53" i="1"/>
  <c r="J54" i="1"/>
  <c r="J55" i="1"/>
  <c r="J56" i="1"/>
  <c r="J57" i="1"/>
  <c r="J58" i="1"/>
  <c r="J59" i="1"/>
  <c r="J60" i="1"/>
  <c r="J61" i="1"/>
  <c r="J63" i="1"/>
  <c r="J64" i="1"/>
  <c r="J62" i="1"/>
  <c r="J66" i="1"/>
  <c r="J67" i="1"/>
  <c r="J65" i="1"/>
  <c r="J69" i="1"/>
  <c r="J70" i="1"/>
  <c r="J68" i="1"/>
  <c r="J72" i="1"/>
  <c r="J73" i="1"/>
  <c r="J71" i="1"/>
  <c r="J75" i="1"/>
  <c r="J74" i="1"/>
  <c r="J76" i="1"/>
  <c r="J82" i="1"/>
  <c r="J83" i="1"/>
  <c r="J77" i="1"/>
  <c r="J81" i="1"/>
  <c r="J80" i="1"/>
  <c r="J78" i="1"/>
  <c r="J79" i="1"/>
  <c r="J84" i="1"/>
  <c r="J85" i="1"/>
  <c r="J86" i="1"/>
  <c r="J87" i="1"/>
  <c r="J88" i="1"/>
  <c r="J89" i="1"/>
  <c r="J91" i="1"/>
  <c r="J92" i="1"/>
  <c r="J90" i="1"/>
  <c r="J102" i="1"/>
  <c r="J96" i="1"/>
  <c r="J99" i="1"/>
  <c r="J100" i="1"/>
  <c r="J93" i="1"/>
  <c r="J97" i="1"/>
  <c r="J103" i="1"/>
  <c r="J101" i="1"/>
  <c r="J94" i="1"/>
  <c r="J95" i="1"/>
  <c r="J98" i="1"/>
  <c r="J104" i="1"/>
  <c r="J106" i="1"/>
  <c r="J105" i="1"/>
  <c r="J108" i="1"/>
  <c r="J109" i="1"/>
  <c r="J107" i="1"/>
  <c r="J112" i="1"/>
  <c r="J111" i="1"/>
  <c r="J110" i="1"/>
  <c r="J113" i="1"/>
  <c r="J114" i="1"/>
  <c r="J115" i="1"/>
  <c r="J116" i="1"/>
  <c r="J117" i="1"/>
  <c r="J118" i="1"/>
  <c r="J119" i="1"/>
  <c r="J120" i="1"/>
  <c r="J121" i="1"/>
  <c r="J122" i="1"/>
  <c r="J123" i="1"/>
  <c r="J124" i="1"/>
  <c r="J125" i="1"/>
  <c r="J126" i="1"/>
  <c r="J127" i="1"/>
  <c r="J128" i="1"/>
  <c r="J134" i="1"/>
  <c r="B132" i="1"/>
  <c r="B133" i="1"/>
  <c r="B134" i="1"/>
  <c r="D132" i="1"/>
  <c r="AB132" i="1" s="1"/>
  <c r="D133" i="1"/>
  <c r="AB133" i="1" s="1"/>
  <c r="D134" i="1"/>
  <c r="AB134" i="1" s="1"/>
  <c r="E132" i="1"/>
  <c r="E133" i="1"/>
  <c r="E134" i="1"/>
  <c r="P132" i="1"/>
  <c r="P133" i="1"/>
  <c r="P134" i="1"/>
  <c r="S132" i="1" a="1"/>
  <c r="S132" i="1" s="1"/>
  <c r="S133" i="1" a="1"/>
  <c r="S133" i="1" s="1"/>
  <c r="Z132" i="1"/>
  <c r="Z133" i="1"/>
  <c r="Z134" i="1"/>
  <c r="AA132" i="1"/>
  <c r="AA133" i="1"/>
  <c r="AA134" i="1"/>
  <c r="AC132" i="1"/>
  <c r="AC133" i="1"/>
  <c r="AC134" i="1"/>
  <c r="AD132" i="1"/>
  <c r="AD133" i="1"/>
  <c r="AD134" i="1"/>
  <c r="AE132" i="1"/>
  <c r="AE133" i="1"/>
  <c r="AE134" i="1"/>
  <c r="W134" i="1"/>
  <c r="W133" i="1"/>
  <c r="W132" i="1"/>
  <c r="AB139" i="1" l="1"/>
  <c r="F139" i="1"/>
  <c r="T139" i="1" s="1"/>
  <c r="AB135" i="1"/>
  <c r="F135" i="1"/>
  <c r="T135" i="1" s="1"/>
  <c r="R135" i="1" a="1"/>
  <c r="R135" i="1" s="1"/>
  <c r="Q138" i="1" a="1"/>
  <c r="Q138" i="1" s="1"/>
  <c r="F136" i="1"/>
  <c r="T136" i="1" s="1"/>
  <c r="F137" i="1"/>
  <c r="T137" i="1" s="1"/>
  <c r="AB136" i="1"/>
  <c r="AB137" i="1"/>
  <c r="R139" i="1" a="1"/>
  <c r="R139" i="1" s="1"/>
  <c r="F138" i="1"/>
  <c r="T138" i="1" s="1"/>
  <c r="R137" i="1" a="1"/>
  <c r="R137" i="1" s="1"/>
  <c r="R136" i="1" a="1"/>
  <c r="R136" i="1" s="1"/>
  <c r="F132" i="1"/>
  <c r="T132" i="1" s="1"/>
  <c r="F134" i="1"/>
  <c r="T134" i="1" s="1"/>
  <c r="F133" i="1"/>
  <c r="T133" i="1" s="1"/>
  <c r="R133" i="1" a="1"/>
  <c r="R133" i="1" s="1"/>
  <c r="R132" i="1" a="1"/>
  <c r="R132" i="1" s="1"/>
  <c r="M5" i="50"/>
  <c r="M6" i="50"/>
  <c r="M7" i="50"/>
  <c r="M8" i="50"/>
  <c r="M9" i="50"/>
  <c r="M10" i="50"/>
  <c r="M11" i="50"/>
  <c r="M12" i="50"/>
  <c r="M13" i="50"/>
  <c r="M14" i="50"/>
  <c r="M15" i="50"/>
  <c r="M16" i="50"/>
  <c r="M17" i="50"/>
  <c r="M18" i="50"/>
  <c r="M19" i="50"/>
  <c r="M20" i="50"/>
  <c r="M21" i="50"/>
  <c r="M22" i="50"/>
  <c r="M23" i="50"/>
  <c r="M24" i="50"/>
  <c r="M25" i="50"/>
  <c r="M26" i="50"/>
  <c r="M4" i="50"/>
  <c r="B22" i="27"/>
  <c r="B23" i="27"/>
  <c r="B24" i="27"/>
  <c r="B25" i="27"/>
  <c r="B26" i="27"/>
  <c r="B27" i="27"/>
  <c r="B28" i="27"/>
  <c r="B29" i="27"/>
  <c r="I484" i="2"/>
  <c r="I485" i="2"/>
  <c r="D5" i="2"/>
  <c r="I5" i="2" s="1"/>
  <c r="D6" i="2"/>
  <c r="I6" i="2" s="1"/>
  <c r="D7" i="2"/>
  <c r="I7" i="2" s="1"/>
  <c r="D8" i="2"/>
  <c r="I8" i="2" s="1"/>
  <c r="D9" i="2"/>
  <c r="I9" i="2" s="1"/>
  <c r="D10" i="2"/>
  <c r="I10" i="2" s="1"/>
  <c r="D11" i="2"/>
  <c r="I11" i="2" s="1"/>
  <c r="D12" i="2"/>
  <c r="I12" i="2" s="1"/>
  <c r="D13" i="2"/>
  <c r="I13" i="2" s="1"/>
  <c r="D14" i="2"/>
  <c r="I14" i="2" s="1"/>
  <c r="D15" i="2"/>
  <c r="I15" i="2" s="1"/>
  <c r="D16" i="2"/>
  <c r="I16" i="2" s="1"/>
  <c r="D17" i="2"/>
  <c r="I17" i="2" s="1"/>
  <c r="D18" i="2"/>
  <c r="I18" i="2" s="1"/>
  <c r="D19" i="2"/>
  <c r="I19" i="2" s="1"/>
  <c r="D20" i="2"/>
  <c r="I20" i="2" s="1"/>
  <c r="D21" i="2"/>
  <c r="I21" i="2" s="1"/>
  <c r="D22" i="2"/>
  <c r="I22" i="2" s="1"/>
  <c r="D23" i="2"/>
  <c r="I23" i="2" s="1"/>
  <c r="D24" i="2"/>
  <c r="I24" i="2" s="1"/>
  <c r="D25" i="2"/>
  <c r="I25" i="2" s="1"/>
  <c r="D26" i="2"/>
  <c r="I26" i="2" s="1"/>
  <c r="D27" i="2"/>
  <c r="I27" i="2" s="1"/>
  <c r="D28" i="2"/>
  <c r="I28" i="2" s="1"/>
  <c r="D29" i="2"/>
  <c r="I29" i="2" s="1"/>
  <c r="D30" i="2"/>
  <c r="I30" i="2" s="1"/>
  <c r="D31" i="2"/>
  <c r="I31" i="2" s="1"/>
  <c r="D32" i="2"/>
  <c r="I32" i="2" s="1"/>
  <c r="D33" i="2"/>
  <c r="I33" i="2" s="1"/>
  <c r="D34" i="2"/>
  <c r="I34" i="2" s="1"/>
  <c r="D35" i="2"/>
  <c r="I35" i="2" s="1"/>
  <c r="D36" i="2"/>
  <c r="I36" i="2" s="1"/>
  <c r="D37" i="2"/>
  <c r="I37" i="2" s="1"/>
  <c r="D38" i="2"/>
  <c r="I38" i="2" s="1"/>
  <c r="D39" i="2"/>
  <c r="I39" i="2" s="1"/>
  <c r="D40" i="2"/>
  <c r="I40" i="2" s="1"/>
  <c r="D41" i="2"/>
  <c r="I41" i="2" s="1"/>
  <c r="D42" i="2"/>
  <c r="I42" i="2" s="1"/>
  <c r="D43" i="2"/>
  <c r="I43" i="2" s="1"/>
  <c r="D44" i="2"/>
  <c r="I44" i="2" s="1"/>
  <c r="D45" i="2"/>
  <c r="I45" i="2" s="1"/>
  <c r="D46" i="2"/>
  <c r="I46" i="2" s="1"/>
  <c r="D47" i="2"/>
  <c r="I47" i="2" s="1"/>
  <c r="D48" i="2"/>
  <c r="I48" i="2" s="1"/>
  <c r="D49" i="2"/>
  <c r="I49" i="2" s="1"/>
  <c r="D50" i="2"/>
  <c r="I50" i="2" s="1"/>
  <c r="D51" i="2"/>
  <c r="I51" i="2" s="1"/>
  <c r="D52" i="2"/>
  <c r="I52" i="2" s="1"/>
  <c r="D53" i="2"/>
  <c r="I53" i="2" s="1"/>
  <c r="D54" i="2"/>
  <c r="I54" i="2" s="1"/>
  <c r="D55" i="2"/>
  <c r="I55" i="2" s="1"/>
  <c r="D56" i="2"/>
  <c r="I56" i="2" s="1"/>
  <c r="D57" i="2"/>
  <c r="I57" i="2" s="1"/>
  <c r="D58" i="2"/>
  <c r="I58" i="2" s="1"/>
  <c r="D59" i="2"/>
  <c r="I59" i="2" s="1"/>
  <c r="D60" i="2"/>
  <c r="I60" i="2" s="1"/>
  <c r="D61" i="2"/>
  <c r="I61" i="2" s="1"/>
  <c r="D62" i="2"/>
  <c r="I62" i="2" s="1"/>
  <c r="D63" i="2"/>
  <c r="I63" i="2" s="1"/>
  <c r="D64" i="2"/>
  <c r="I64" i="2" s="1"/>
  <c r="D65" i="2"/>
  <c r="I65" i="2" s="1"/>
  <c r="D66" i="2"/>
  <c r="I66" i="2" s="1"/>
  <c r="D67" i="2"/>
  <c r="I67" i="2" s="1"/>
  <c r="D68" i="2"/>
  <c r="I68" i="2" s="1"/>
  <c r="D69" i="2"/>
  <c r="I69" i="2" s="1"/>
  <c r="D70" i="2"/>
  <c r="I70" i="2" s="1"/>
  <c r="D71" i="2"/>
  <c r="I71" i="2" s="1"/>
  <c r="D72" i="2"/>
  <c r="I72" i="2" s="1"/>
  <c r="D73" i="2"/>
  <c r="I73" i="2" s="1"/>
  <c r="D74" i="2"/>
  <c r="I74" i="2" s="1"/>
  <c r="D75" i="2"/>
  <c r="I75" i="2" s="1"/>
  <c r="D76" i="2"/>
  <c r="I76" i="2" s="1"/>
  <c r="D77" i="2"/>
  <c r="I77" i="2" s="1"/>
  <c r="D78" i="2"/>
  <c r="I78" i="2" s="1"/>
  <c r="D79" i="2"/>
  <c r="I79" i="2" s="1"/>
  <c r="D80" i="2"/>
  <c r="I80" i="2" s="1"/>
  <c r="D81" i="2"/>
  <c r="I81" i="2" s="1"/>
  <c r="D82" i="2"/>
  <c r="I82" i="2" s="1"/>
  <c r="D83" i="2"/>
  <c r="I83" i="2" s="1"/>
  <c r="D84" i="2"/>
  <c r="I84" i="2" s="1"/>
  <c r="D85" i="2"/>
  <c r="I85" i="2" s="1"/>
  <c r="D86" i="2"/>
  <c r="I86" i="2" s="1"/>
  <c r="D87" i="2"/>
  <c r="I87" i="2" s="1"/>
  <c r="D88" i="2"/>
  <c r="I88" i="2" s="1"/>
  <c r="D89" i="2"/>
  <c r="I89" i="2" s="1"/>
  <c r="D90" i="2"/>
  <c r="I90" i="2" s="1"/>
  <c r="D91" i="2"/>
  <c r="I91" i="2" s="1"/>
  <c r="D92" i="2"/>
  <c r="I92" i="2" s="1"/>
  <c r="D93" i="2"/>
  <c r="I93" i="2" s="1"/>
  <c r="D94" i="2"/>
  <c r="I94" i="2" s="1"/>
  <c r="D95" i="2"/>
  <c r="I95" i="2" s="1"/>
  <c r="D96" i="2"/>
  <c r="I96" i="2" s="1"/>
  <c r="D97" i="2"/>
  <c r="I97" i="2" s="1"/>
  <c r="D98" i="2"/>
  <c r="I98" i="2" s="1"/>
  <c r="D99" i="2"/>
  <c r="I99" i="2" s="1"/>
  <c r="D100" i="2"/>
  <c r="I100" i="2" s="1"/>
  <c r="D101" i="2"/>
  <c r="I101" i="2" s="1"/>
  <c r="D102" i="2"/>
  <c r="I102" i="2" s="1"/>
  <c r="D103" i="2"/>
  <c r="I103" i="2" s="1"/>
  <c r="D104" i="2"/>
  <c r="I104" i="2" s="1"/>
  <c r="D105" i="2"/>
  <c r="I105" i="2" s="1"/>
  <c r="D106" i="2"/>
  <c r="I106" i="2" s="1"/>
  <c r="D107" i="2"/>
  <c r="I107" i="2" s="1"/>
  <c r="D108" i="2"/>
  <c r="I108" i="2" s="1"/>
  <c r="D109" i="2"/>
  <c r="I109" i="2" s="1"/>
  <c r="D110" i="2"/>
  <c r="I110" i="2" s="1"/>
  <c r="D111" i="2"/>
  <c r="I111" i="2" s="1"/>
  <c r="D112" i="2"/>
  <c r="I112" i="2" s="1"/>
  <c r="D113" i="2"/>
  <c r="I113" i="2" s="1"/>
  <c r="D114" i="2"/>
  <c r="I114" i="2" s="1"/>
  <c r="D115" i="2"/>
  <c r="I115" i="2" s="1"/>
  <c r="D116" i="2"/>
  <c r="I116" i="2" s="1"/>
  <c r="D117" i="2"/>
  <c r="I117" i="2" s="1"/>
  <c r="D118" i="2"/>
  <c r="I118" i="2" s="1"/>
  <c r="D119" i="2"/>
  <c r="I119" i="2" s="1"/>
  <c r="D120" i="2"/>
  <c r="I120" i="2" s="1"/>
  <c r="D121" i="2"/>
  <c r="I121" i="2" s="1"/>
  <c r="D122" i="2"/>
  <c r="I122" i="2" s="1"/>
  <c r="D123" i="2"/>
  <c r="I123" i="2" s="1"/>
  <c r="D124" i="2"/>
  <c r="I124" i="2" s="1"/>
  <c r="D125" i="2"/>
  <c r="I125" i="2" s="1"/>
  <c r="D126" i="2"/>
  <c r="I126" i="2" s="1"/>
  <c r="D127" i="2"/>
  <c r="I127" i="2" s="1"/>
  <c r="D128" i="2"/>
  <c r="I128" i="2" s="1"/>
  <c r="D129" i="2"/>
  <c r="I129" i="2" s="1"/>
  <c r="D130" i="2"/>
  <c r="I130" i="2" s="1"/>
  <c r="D131" i="2"/>
  <c r="I131" i="2" s="1"/>
  <c r="D132" i="2"/>
  <c r="I132" i="2" s="1"/>
  <c r="D133" i="2"/>
  <c r="I133" i="2" s="1"/>
  <c r="D134" i="2"/>
  <c r="I134" i="2" s="1"/>
  <c r="D135" i="2"/>
  <c r="I135" i="2" s="1"/>
  <c r="D136" i="2"/>
  <c r="I136" i="2" s="1"/>
  <c r="D137" i="2"/>
  <c r="I137" i="2" s="1"/>
  <c r="D138" i="2"/>
  <c r="I138" i="2" s="1"/>
  <c r="D139" i="2"/>
  <c r="I139" i="2" s="1"/>
  <c r="D140" i="2"/>
  <c r="I140" i="2" s="1"/>
  <c r="D141" i="2"/>
  <c r="I141" i="2" s="1"/>
  <c r="D142" i="2"/>
  <c r="I142" i="2" s="1"/>
  <c r="D143" i="2"/>
  <c r="I143" i="2" s="1"/>
  <c r="D144" i="2"/>
  <c r="I144" i="2" s="1"/>
  <c r="D145" i="2"/>
  <c r="I145" i="2" s="1"/>
  <c r="D146" i="2"/>
  <c r="I146" i="2" s="1"/>
  <c r="D147" i="2"/>
  <c r="I147" i="2" s="1"/>
  <c r="D148" i="2"/>
  <c r="I148" i="2" s="1"/>
  <c r="D149" i="2"/>
  <c r="I149" i="2" s="1"/>
  <c r="D150" i="2"/>
  <c r="I150" i="2" s="1"/>
  <c r="D151" i="2"/>
  <c r="I151" i="2" s="1"/>
  <c r="D152" i="2"/>
  <c r="I152" i="2" s="1"/>
  <c r="D153" i="2"/>
  <c r="I153" i="2" s="1"/>
  <c r="D154" i="2"/>
  <c r="I154" i="2" s="1"/>
  <c r="D155" i="2"/>
  <c r="I155" i="2" s="1"/>
  <c r="D156" i="2"/>
  <c r="I156" i="2" s="1"/>
  <c r="D157" i="2"/>
  <c r="I157" i="2" s="1"/>
  <c r="D158" i="2"/>
  <c r="I158" i="2" s="1"/>
  <c r="D159" i="2"/>
  <c r="I159" i="2" s="1"/>
  <c r="D160" i="2"/>
  <c r="I160" i="2" s="1"/>
  <c r="D161" i="2"/>
  <c r="I161" i="2" s="1"/>
  <c r="D162" i="2"/>
  <c r="I162" i="2" s="1"/>
  <c r="D163" i="2"/>
  <c r="I163" i="2" s="1"/>
  <c r="D164" i="2"/>
  <c r="I164" i="2" s="1"/>
  <c r="D165" i="2"/>
  <c r="I165" i="2" s="1"/>
  <c r="D166" i="2"/>
  <c r="I166" i="2" s="1"/>
  <c r="D167" i="2"/>
  <c r="I167" i="2" s="1"/>
  <c r="D168" i="2"/>
  <c r="I168" i="2" s="1"/>
  <c r="D169" i="2"/>
  <c r="I169" i="2" s="1"/>
  <c r="D170" i="2"/>
  <c r="I170" i="2" s="1"/>
  <c r="D171" i="2"/>
  <c r="I171" i="2" s="1"/>
  <c r="D172" i="2"/>
  <c r="I172" i="2" s="1"/>
  <c r="D173" i="2"/>
  <c r="I173" i="2" s="1"/>
  <c r="D174" i="2"/>
  <c r="I174" i="2" s="1"/>
  <c r="D175" i="2"/>
  <c r="I175" i="2" s="1"/>
  <c r="D176" i="2"/>
  <c r="I176" i="2" s="1"/>
  <c r="D177" i="2"/>
  <c r="I177" i="2" s="1"/>
  <c r="D178" i="2"/>
  <c r="I178" i="2" s="1"/>
  <c r="D179" i="2"/>
  <c r="I179" i="2" s="1"/>
  <c r="D180" i="2"/>
  <c r="I180" i="2" s="1"/>
  <c r="D181" i="2"/>
  <c r="I181" i="2" s="1"/>
  <c r="D182" i="2"/>
  <c r="I182" i="2" s="1"/>
  <c r="D183" i="2"/>
  <c r="I183" i="2" s="1"/>
  <c r="D184" i="2"/>
  <c r="I184" i="2" s="1"/>
  <c r="D185" i="2"/>
  <c r="I185" i="2" s="1"/>
  <c r="D186" i="2"/>
  <c r="I186" i="2" s="1"/>
  <c r="D187" i="2"/>
  <c r="I187" i="2" s="1"/>
  <c r="D188" i="2"/>
  <c r="I188" i="2" s="1"/>
  <c r="D189" i="2"/>
  <c r="I189" i="2" s="1"/>
  <c r="D190" i="2"/>
  <c r="I190" i="2" s="1"/>
  <c r="D191" i="2"/>
  <c r="I191" i="2" s="1"/>
  <c r="D192" i="2"/>
  <c r="I192" i="2" s="1"/>
  <c r="D193" i="2"/>
  <c r="I193" i="2" s="1"/>
  <c r="D194" i="2"/>
  <c r="I194" i="2" s="1"/>
  <c r="D195" i="2"/>
  <c r="I195" i="2" s="1"/>
  <c r="D196" i="2"/>
  <c r="I196" i="2" s="1"/>
  <c r="D197" i="2"/>
  <c r="I197" i="2" s="1"/>
  <c r="D198" i="2"/>
  <c r="I198" i="2" s="1"/>
  <c r="D199" i="2"/>
  <c r="I199" i="2" s="1"/>
  <c r="D200" i="2"/>
  <c r="I200" i="2" s="1"/>
  <c r="D201" i="2"/>
  <c r="I201" i="2" s="1"/>
  <c r="D202" i="2"/>
  <c r="I202" i="2" s="1"/>
  <c r="D203" i="2"/>
  <c r="I203" i="2" s="1"/>
  <c r="D204" i="2"/>
  <c r="I204" i="2" s="1"/>
  <c r="D205" i="2"/>
  <c r="I205" i="2" s="1"/>
  <c r="D206" i="2"/>
  <c r="I206" i="2" s="1"/>
  <c r="D207" i="2"/>
  <c r="I207" i="2" s="1"/>
  <c r="D208" i="2"/>
  <c r="I208" i="2" s="1"/>
  <c r="D209" i="2"/>
  <c r="I209" i="2" s="1"/>
  <c r="D210" i="2"/>
  <c r="I210" i="2" s="1"/>
  <c r="D211" i="2"/>
  <c r="I211" i="2" s="1"/>
  <c r="D212" i="2"/>
  <c r="I212" i="2" s="1"/>
  <c r="D213" i="2"/>
  <c r="I213" i="2" s="1"/>
  <c r="D214" i="2"/>
  <c r="I214" i="2" s="1"/>
  <c r="D215" i="2"/>
  <c r="I215" i="2" s="1"/>
  <c r="D216" i="2"/>
  <c r="I216" i="2" s="1"/>
  <c r="D217" i="2"/>
  <c r="I217" i="2" s="1"/>
  <c r="D218" i="2"/>
  <c r="I218" i="2" s="1"/>
  <c r="D219" i="2"/>
  <c r="I219" i="2" s="1"/>
  <c r="D220" i="2"/>
  <c r="I220" i="2" s="1"/>
  <c r="D221" i="2"/>
  <c r="I221" i="2" s="1"/>
  <c r="D222" i="2"/>
  <c r="I222" i="2" s="1"/>
  <c r="D223" i="2"/>
  <c r="I223" i="2" s="1"/>
  <c r="D224" i="2"/>
  <c r="I224" i="2" s="1"/>
  <c r="D225" i="2"/>
  <c r="I225" i="2" s="1"/>
  <c r="D226" i="2"/>
  <c r="I226" i="2" s="1"/>
  <c r="D227" i="2"/>
  <c r="I227" i="2" s="1"/>
  <c r="D228" i="2"/>
  <c r="I228" i="2" s="1"/>
  <c r="D229" i="2"/>
  <c r="I229" i="2" s="1"/>
  <c r="D230" i="2"/>
  <c r="I230" i="2" s="1"/>
  <c r="D231" i="2"/>
  <c r="I231" i="2" s="1"/>
  <c r="D232" i="2"/>
  <c r="I232" i="2" s="1"/>
  <c r="D233" i="2"/>
  <c r="I233" i="2" s="1"/>
  <c r="D234" i="2"/>
  <c r="I234" i="2" s="1"/>
  <c r="D235" i="2"/>
  <c r="I235" i="2" s="1"/>
  <c r="D236" i="2"/>
  <c r="I236" i="2" s="1"/>
  <c r="D237" i="2"/>
  <c r="I237" i="2" s="1"/>
  <c r="D238" i="2"/>
  <c r="I238" i="2" s="1"/>
  <c r="D239" i="2"/>
  <c r="I239" i="2" s="1"/>
  <c r="D240" i="2"/>
  <c r="I240" i="2" s="1"/>
  <c r="D241" i="2"/>
  <c r="I241" i="2" s="1"/>
  <c r="D242" i="2"/>
  <c r="I242" i="2" s="1"/>
  <c r="D243" i="2"/>
  <c r="I243" i="2" s="1"/>
  <c r="D244" i="2"/>
  <c r="I244" i="2" s="1"/>
  <c r="D245" i="2"/>
  <c r="I245" i="2" s="1"/>
  <c r="D246" i="2"/>
  <c r="I246" i="2" s="1"/>
  <c r="D247" i="2"/>
  <c r="I247" i="2" s="1"/>
  <c r="D248" i="2"/>
  <c r="I248" i="2" s="1"/>
  <c r="D249" i="2"/>
  <c r="I249" i="2" s="1"/>
  <c r="D250" i="2"/>
  <c r="I250" i="2" s="1"/>
  <c r="D251" i="2"/>
  <c r="I251" i="2" s="1"/>
  <c r="D252" i="2"/>
  <c r="I252" i="2" s="1"/>
  <c r="D253" i="2"/>
  <c r="I253" i="2" s="1"/>
  <c r="D254" i="2"/>
  <c r="I254" i="2" s="1"/>
  <c r="D255" i="2"/>
  <c r="I255" i="2" s="1"/>
  <c r="D256" i="2"/>
  <c r="I256" i="2" s="1"/>
  <c r="D257" i="2"/>
  <c r="I257" i="2" s="1"/>
  <c r="D258" i="2"/>
  <c r="I258" i="2" s="1"/>
  <c r="D259" i="2"/>
  <c r="I259" i="2" s="1"/>
  <c r="D260" i="2"/>
  <c r="I260" i="2" s="1"/>
  <c r="D261" i="2"/>
  <c r="I261" i="2" s="1"/>
  <c r="D262" i="2"/>
  <c r="I262" i="2" s="1"/>
  <c r="D263" i="2"/>
  <c r="I263" i="2" s="1"/>
  <c r="D264" i="2"/>
  <c r="I264" i="2" s="1"/>
  <c r="D265" i="2"/>
  <c r="I265" i="2" s="1"/>
  <c r="D266" i="2"/>
  <c r="I266" i="2" s="1"/>
  <c r="D267" i="2"/>
  <c r="I267" i="2" s="1"/>
  <c r="D268" i="2"/>
  <c r="I268" i="2" s="1"/>
  <c r="D269" i="2"/>
  <c r="I269" i="2" s="1"/>
  <c r="D270" i="2"/>
  <c r="I270" i="2" s="1"/>
  <c r="D271" i="2"/>
  <c r="I271" i="2" s="1"/>
  <c r="D272" i="2"/>
  <c r="I272" i="2" s="1"/>
  <c r="D273" i="2"/>
  <c r="I273" i="2" s="1"/>
  <c r="D274" i="2"/>
  <c r="I274" i="2" s="1"/>
  <c r="D275" i="2"/>
  <c r="I275" i="2" s="1"/>
  <c r="D276" i="2"/>
  <c r="I276" i="2" s="1"/>
  <c r="D277" i="2"/>
  <c r="I277" i="2" s="1"/>
  <c r="D278" i="2"/>
  <c r="I278" i="2" s="1"/>
  <c r="D279" i="2"/>
  <c r="I279" i="2" s="1"/>
  <c r="D280" i="2"/>
  <c r="I280" i="2" s="1"/>
  <c r="D281" i="2"/>
  <c r="I281" i="2" s="1"/>
  <c r="D282" i="2"/>
  <c r="I282" i="2" s="1"/>
  <c r="D283" i="2"/>
  <c r="I283" i="2" s="1"/>
  <c r="D284" i="2"/>
  <c r="I284" i="2" s="1"/>
  <c r="D285" i="2"/>
  <c r="I285" i="2" s="1"/>
  <c r="D286" i="2"/>
  <c r="I286" i="2" s="1"/>
  <c r="D287" i="2"/>
  <c r="I287" i="2" s="1"/>
  <c r="D288" i="2"/>
  <c r="I288" i="2" s="1"/>
  <c r="D289" i="2"/>
  <c r="I289" i="2" s="1"/>
  <c r="D290" i="2"/>
  <c r="I290" i="2" s="1"/>
  <c r="D291" i="2"/>
  <c r="I291" i="2" s="1"/>
  <c r="D292" i="2"/>
  <c r="I292" i="2" s="1"/>
  <c r="D293" i="2"/>
  <c r="I293" i="2" s="1"/>
  <c r="D294" i="2"/>
  <c r="I294" i="2" s="1"/>
  <c r="D295" i="2"/>
  <c r="I295" i="2" s="1"/>
  <c r="D296" i="2"/>
  <c r="I296" i="2" s="1"/>
  <c r="D297" i="2"/>
  <c r="I297" i="2" s="1"/>
  <c r="D298" i="2"/>
  <c r="I298" i="2" s="1"/>
  <c r="D299" i="2"/>
  <c r="I299" i="2" s="1"/>
  <c r="D300" i="2"/>
  <c r="I300" i="2" s="1"/>
  <c r="D301" i="2"/>
  <c r="I301" i="2" s="1"/>
  <c r="D302" i="2"/>
  <c r="I302" i="2" s="1"/>
  <c r="D303" i="2"/>
  <c r="I303" i="2" s="1"/>
  <c r="D304" i="2"/>
  <c r="I304" i="2" s="1"/>
  <c r="D305" i="2"/>
  <c r="I305" i="2" s="1"/>
  <c r="D306" i="2"/>
  <c r="I306" i="2" s="1"/>
  <c r="D307" i="2"/>
  <c r="I307" i="2" s="1"/>
  <c r="D308" i="2"/>
  <c r="I308" i="2" s="1"/>
  <c r="D309" i="2"/>
  <c r="I309" i="2" s="1"/>
  <c r="D310" i="2"/>
  <c r="I310" i="2" s="1"/>
  <c r="D311" i="2"/>
  <c r="I311" i="2" s="1"/>
  <c r="D312" i="2"/>
  <c r="I312" i="2" s="1"/>
  <c r="D313" i="2"/>
  <c r="I313" i="2" s="1"/>
  <c r="D314" i="2"/>
  <c r="I314" i="2" s="1"/>
  <c r="D315" i="2"/>
  <c r="I315" i="2" s="1"/>
  <c r="D316" i="2"/>
  <c r="I316" i="2" s="1"/>
  <c r="D317" i="2"/>
  <c r="I317" i="2" s="1"/>
  <c r="D318" i="2"/>
  <c r="I318" i="2" s="1"/>
  <c r="D319" i="2"/>
  <c r="I319" i="2" s="1"/>
  <c r="D320" i="2"/>
  <c r="I320" i="2" s="1"/>
  <c r="D321" i="2"/>
  <c r="I321" i="2" s="1"/>
  <c r="D322" i="2"/>
  <c r="I322" i="2" s="1"/>
  <c r="D323" i="2"/>
  <c r="I323" i="2" s="1"/>
  <c r="D324" i="2"/>
  <c r="I324" i="2" s="1"/>
  <c r="D325" i="2"/>
  <c r="I325" i="2" s="1"/>
  <c r="D326" i="2"/>
  <c r="I326" i="2" s="1"/>
  <c r="D327" i="2"/>
  <c r="I327" i="2" s="1"/>
  <c r="D328" i="2"/>
  <c r="I328" i="2" s="1"/>
  <c r="D329" i="2"/>
  <c r="I329" i="2" s="1"/>
  <c r="D330" i="2"/>
  <c r="I330" i="2" s="1"/>
  <c r="D331" i="2"/>
  <c r="I331" i="2" s="1"/>
  <c r="D332" i="2"/>
  <c r="I332" i="2" s="1"/>
  <c r="D333" i="2"/>
  <c r="I333" i="2" s="1"/>
  <c r="D334" i="2"/>
  <c r="I334" i="2" s="1"/>
  <c r="D335" i="2"/>
  <c r="I335" i="2" s="1"/>
  <c r="D336" i="2"/>
  <c r="I336" i="2" s="1"/>
  <c r="D337" i="2"/>
  <c r="I337" i="2" s="1"/>
  <c r="D338" i="2"/>
  <c r="I338" i="2" s="1"/>
  <c r="D339" i="2"/>
  <c r="I339" i="2" s="1"/>
  <c r="D340" i="2"/>
  <c r="I340" i="2" s="1"/>
  <c r="D341" i="2"/>
  <c r="I341" i="2" s="1"/>
  <c r="D342" i="2"/>
  <c r="I342" i="2" s="1"/>
  <c r="D343" i="2"/>
  <c r="I343" i="2" s="1"/>
  <c r="D344" i="2"/>
  <c r="I344" i="2" s="1"/>
  <c r="D345" i="2"/>
  <c r="I345" i="2" s="1"/>
  <c r="D346" i="2"/>
  <c r="I346" i="2" s="1"/>
  <c r="D347" i="2"/>
  <c r="I347" i="2" s="1"/>
  <c r="D348" i="2"/>
  <c r="I348" i="2" s="1"/>
  <c r="D349" i="2"/>
  <c r="I349" i="2" s="1"/>
  <c r="D350" i="2"/>
  <c r="I350" i="2" s="1"/>
  <c r="D351" i="2"/>
  <c r="I351" i="2" s="1"/>
  <c r="D352" i="2"/>
  <c r="I352" i="2" s="1"/>
  <c r="D353" i="2"/>
  <c r="I353" i="2" s="1"/>
  <c r="D354" i="2"/>
  <c r="I354" i="2" s="1"/>
  <c r="D355" i="2"/>
  <c r="I355" i="2" s="1"/>
  <c r="D356" i="2"/>
  <c r="I356" i="2" s="1"/>
  <c r="D357" i="2"/>
  <c r="I357" i="2" s="1"/>
  <c r="D358" i="2"/>
  <c r="I358" i="2" s="1"/>
  <c r="D359" i="2"/>
  <c r="I359" i="2" s="1"/>
  <c r="D360" i="2"/>
  <c r="I360" i="2" s="1"/>
  <c r="D361" i="2"/>
  <c r="I361" i="2" s="1"/>
  <c r="D362" i="2"/>
  <c r="I362" i="2" s="1"/>
  <c r="D363" i="2"/>
  <c r="I363" i="2" s="1"/>
  <c r="D364" i="2"/>
  <c r="I364" i="2" s="1"/>
  <c r="D365" i="2"/>
  <c r="I365" i="2" s="1"/>
  <c r="D366" i="2"/>
  <c r="I366" i="2" s="1"/>
  <c r="D367" i="2"/>
  <c r="I367" i="2" s="1"/>
  <c r="D368" i="2"/>
  <c r="I368" i="2" s="1"/>
  <c r="D369" i="2"/>
  <c r="I369" i="2" s="1"/>
  <c r="D370" i="2"/>
  <c r="I370" i="2" s="1"/>
  <c r="D371" i="2"/>
  <c r="I371" i="2" s="1"/>
  <c r="D372" i="2"/>
  <c r="I372" i="2" s="1"/>
  <c r="D373" i="2"/>
  <c r="I373" i="2" s="1"/>
  <c r="D374" i="2"/>
  <c r="I374" i="2" s="1"/>
  <c r="D375" i="2"/>
  <c r="I375" i="2" s="1"/>
  <c r="D376" i="2"/>
  <c r="I376" i="2" s="1"/>
  <c r="D377" i="2"/>
  <c r="I377" i="2" s="1"/>
  <c r="D378" i="2"/>
  <c r="I378" i="2" s="1"/>
  <c r="D379" i="2"/>
  <c r="I379" i="2" s="1"/>
  <c r="D380" i="2"/>
  <c r="I380" i="2" s="1"/>
  <c r="D381" i="2"/>
  <c r="I381" i="2" s="1"/>
  <c r="D382" i="2"/>
  <c r="I382" i="2" s="1"/>
  <c r="D383" i="2"/>
  <c r="I383" i="2" s="1"/>
  <c r="D384" i="2"/>
  <c r="I384" i="2" s="1"/>
  <c r="D385" i="2"/>
  <c r="I385" i="2" s="1"/>
  <c r="D386" i="2"/>
  <c r="I386" i="2" s="1"/>
  <c r="D387" i="2"/>
  <c r="I387" i="2" s="1"/>
  <c r="D388" i="2"/>
  <c r="I388" i="2" s="1"/>
  <c r="D389" i="2"/>
  <c r="I389" i="2" s="1"/>
  <c r="D390" i="2"/>
  <c r="I390" i="2" s="1"/>
  <c r="D391" i="2"/>
  <c r="I391" i="2" s="1"/>
  <c r="D392" i="2"/>
  <c r="I392" i="2" s="1"/>
  <c r="D393" i="2"/>
  <c r="I393" i="2" s="1"/>
  <c r="D394" i="2"/>
  <c r="I394" i="2" s="1"/>
  <c r="D395" i="2"/>
  <c r="I395" i="2" s="1"/>
  <c r="D396" i="2"/>
  <c r="I396" i="2" s="1"/>
  <c r="D397" i="2"/>
  <c r="I397" i="2" s="1"/>
  <c r="D398" i="2"/>
  <c r="I398" i="2" s="1"/>
  <c r="D399" i="2"/>
  <c r="I399" i="2" s="1"/>
  <c r="D400" i="2"/>
  <c r="I400" i="2" s="1"/>
  <c r="D401" i="2"/>
  <c r="I401" i="2" s="1"/>
  <c r="D402" i="2"/>
  <c r="I402" i="2" s="1"/>
  <c r="D403" i="2"/>
  <c r="I403" i="2" s="1"/>
  <c r="D404" i="2"/>
  <c r="I404" i="2" s="1"/>
  <c r="D405" i="2"/>
  <c r="I405" i="2" s="1"/>
  <c r="D406" i="2"/>
  <c r="I406" i="2" s="1"/>
  <c r="D407" i="2"/>
  <c r="I407" i="2" s="1"/>
  <c r="D408" i="2"/>
  <c r="I408" i="2" s="1"/>
  <c r="D409" i="2"/>
  <c r="I409" i="2" s="1"/>
  <c r="D410" i="2"/>
  <c r="I410" i="2" s="1"/>
  <c r="D411" i="2"/>
  <c r="I411" i="2" s="1"/>
  <c r="D412" i="2"/>
  <c r="I412" i="2" s="1"/>
  <c r="D413" i="2"/>
  <c r="I413" i="2" s="1"/>
  <c r="D414" i="2"/>
  <c r="I414" i="2" s="1"/>
  <c r="D415" i="2"/>
  <c r="I415" i="2" s="1"/>
  <c r="D416" i="2"/>
  <c r="I416" i="2" s="1"/>
  <c r="D417" i="2"/>
  <c r="I417" i="2" s="1"/>
  <c r="D418" i="2"/>
  <c r="I418" i="2" s="1"/>
  <c r="D419" i="2"/>
  <c r="I419" i="2" s="1"/>
  <c r="D420" i="2"/>
  <c r="I420" i="2" s="1"/>
  <c r="D421" i="2"/>
  <c r="I421" i="2" s="1"/>
  <c r="D422" i="2"/>
  <c r="I422" i="2" s="1"/>
  <c r="D423" i="2"/>
  <c r="I423" i="2" s="1"/>
  <c r="D424" i="2"/>
  <c r="I424" i="2" s="1"/>
  <c r="D425" i="2"/>
  <c r="I425" i="2" s="1"/>
  <c r="D426" i="2"/>
  <c r="I426" i="2" s="1"/>
  <c r="D427" i="2"/>
  <c r="I427" i="2" s="1"/>
  <c r="D428" i="2"/>
  <c r="I428" i="2" s="1"/>
  <c r="D429" i="2"/>
  <c r="I429" i="2" s="1"/>
  <c r="D430" i="2"/>
  <c r="I430" i="2" s="1"/>
  <c r="D431" i="2"/>
  <c r="I431" i="2" s="1"/>
  <c r="D432" i="2"/>
  <c r="I432" i="2" s="1"/>
  <c r="D433" i="2"/>
  <c r="I433" i="2" s="1"/>
  <c r="D434" i="2"/>
  <c r="I434" i="2" s="1"/>
  <c r="D435" i="2"/>
  <c r="I435" i="2" s="1"/>
  <c r="D436" i="2"/>
  <c r="I436" i="2" s="1"/>
  <c r="D437" i="2"/>
  <c r="I437" i="2" s="1"/>
  <c r="D438" i="2"/>
  <c r="I438" i="2" s="1"/>
  <c r="D439" i="2"/>
  <c r="I439" i="2" s="1"/>
  <c r="D440" i="2"/>
  <c r="I440" i="2" s="1"/>
  <c r="D441" i="2"/>
  <c r="I441" i="2" s="1"/>
  <c r="D442" i="2"/>
  <c r="I442" i="2" s="1"/>
  <c r="D443" i="2"/>
  <c r="I443" i="2" s="1"/>
  <c r="D444" i="2"/>
  <c r="I444" i="2" s="1"/>
  <c r="D445" i="2"/>
  <c r="I445" i="2" s="1"/>
  <c r="D446" i="2"/>
  <c r="I446" i="2" s="1"/>
  <c r="D447" i="2"/>
  <c r="I447" i="2" s="1"/>
  <c r="D448" i="2"/>
  <c r="I448" i="2" s="1"/>
  <c r="D449" i="2"/>
  <c r="I449" i="2" s="1"/>
  <c r="D450" i="2"/>
  <c r="I450" i="2" s="1"/>
  <c r="D451" i="2"/>
  <c r="I451" i="2" s="1"/>
  <c r="D452" i="2"/>
  <c r="I452" i="2" s="1"/>
  <c r="D453" i="2"/>
  <c r="I453" i="2" s="1"/>
  <c r="D454" i="2"/>
  <c r="I454" i="2" s="1"/>
  <c r="D455" i="2"/>
  <c r="I455" i="2" s="1"/>
  <c r="D456" i="2"/>
  <c r="I456" i="2" s="1"/>
  <c r="D457" i="2"/>
  <c r="I457" i="2" s="1"/>
  <c r="D458" i="2"/>
  <c r="I458" i="2" s="1"/>
  <c r="D459" i="2"/>
  <c r="I459" i="2" s="1"/>
  <c r="D460" i="2"/>
  <c r="I460" i="2" s="1"/>
  <c r="D461" i="2"/>
  <c r="I461" i="2" s="1"/>
  <c r="D462" i="2"/>
  <c r="I462" i="2" s="1"/>
  <c r="D463" i="2"/>
  <c r="I463" i="2" s="1"/>
  <c r="D464" i="2"/>
  <c r="I464" i="2" s="1"/>
  <c r="D465" i="2"/>
  <c r="I465" i="2" s="1"/>
  <c r="D466" i="2"/>
  <c r="I466" i="2" s="1"/>
  <c r="D467" i="2"/>
  <c r="I467" i="2" s="1"/>
  <c r="D468" i="2"/>
  <c r="I468" i="2" s="1"/>
  <c r="D469" i="2"/>
  <c r="I469" i="2" s="1"/>
  <c r="D470" i="2"/>
  <c r="I470" i="2" s="1"/>
  <c r="D471" i="2"/>
  <c r="I471" i="2" s="1"/>
  <c r="D472" i="2"/>
  <c r="I472" i="2" s="1"/>
  <c r="D473" i="2"/>
  <c r="I473" i="2" s="1"/>
  <c r="D474" i="2"/>
  <c r="I474" i="2" s="1"/>
  <c r="D475" i="2"/>
  <c r="I475" i="2" s="1"/>
  <c r="D476" i="2"/>
  <c r="I476" i="2" s="1"/>
  <c r="D477" i="2"/>
  <c r="I477" i="2" s="1"/>
  <c r="D478" i="2"/>
  <c r="I478" i="2" s="1"/>
  <c r="D479" i="2"/>
  <c r="I479" i="2" s="1"/>
  <c r="D480" i="2"/>
  <c r="I480" i="2" s="1"/>
  <c r="D481" i="2"/>
  <c r="I481" i="2" s="1"/>
  <c r="D482" i="2"/>
  <c r="I482" i="2" s="1"/>
  <c r="D483" i="2"/>
  <c r="I483" i="2" s="1"/>
  <c r="D4" i="2"/>
  <c r="I4" i="2" s="1"/>
  <c r="E377" i="2"/>
  <c r="E378" i="2"/>
  <c r="E379" i="2"/>
  <c r="E380" i="2"/>
  <c r="E381" i="2"/>
  <c r="E382" i="2"/>
  <c r="E383" i="2"/>
  <c r="E384" i="2"/>
  <c r="E385" i="2"/>
  <c r="E386" i="2"/>
  <c r="E387" i="2"/>
  <c r="E388" i="2"/>
  <c r="E389" i="2"/>
  <c r="E390" i="2"/>
  <c r="E391" i="2"/>
  <c r="E392" i="2"/>
  <c r="E393" i="2"/>
  <c r="E394" i="2"/>
  <c r="E395" i="2"/>
  <c r="E396" i="2"/>
  <c r="E397" i="2"/>
  <c r="E398" i="2"/>
  <c r="E399" i="2"/>
  <c r="E400" i="2"/>
  <c r="E401" i="2"/>
  <c r="E402" i="2"/>
  <c r="E403" i="2"/>
  <c r="E404" i="2"/>
  <c r="E405" i="2"/>
  <c r="E406" i="2"/>
  <c r="E407" i="2"/>
  <c r="E408" i="2"/>
  <c r="E409" i="2"/>
  <c r="E410" i="2"/>
  <c r="E411" i="2"/>
  <c r="E412" i="2"/>
  <c r="E413" i="2"/>
  <c r="E414" i="2"/>
  <c r="E415" i="2"/>
  <c r="E416" i="2"/>
  <c r="E417" i="2"/>
  <c r="E418" i="2"/>
  <c r="E419" i="2"/>
  <c r="E420" i="2"/>
  <c r="E421" i="2"/>
  <c r="E422" i="2"/>
  <c r="E423" i="2"/>
  <c r="E424" i="2"/>
  <c r="E425" i="2"/>
  <c r="E426" i="2"/>
  <c r="E427" i="2"/>
  <c r="E428" i="2"/>
  <c r="E429" i="2"/>
  <c r="E430" i="2"/>
  <c r="E431" i="2"/>
  <c r="E432" i="2"/>
  <c r="E433" i="2"/>
  <c r="E434" i="2"/>
  <c r="E435" i="2"/>
  <c r="E436" i="2"/>
  <c r="E437" i="2"/>
  <c r="E438" i="2"/>
  <c r="E439" i="2"/>
  <c r="B379" i="2"/>
  <c r="B380" i="2"/>
  <c r="B381" i="2"/>
  <c r="B382" i="2"/>
  <c r="B383" i="2"/>
  <c r="B384" i="2"/>
  <c r="B385" i="2"/>
  <c r="B386" i="2"/>
  <c r="B387" i="2"/>
  <c r="B388" i="2"/>
  <c r="B389" i="2"/>
  <c r="B390" i="2"/>
  <c r="B391" i="2"/>
  <c r="B392" i="2"/>
  <c r="B393" i="2"/>
  <c r="B394" i="2"/>
  <c r="B395" i="2"/>
  <c r="B396" i="2"/>
  <c r="B397" i="2"/>
  <c r="B398" i="2"/>
  <c r="B399" i="2"/>
  <c r="B400" i="2"/>
  <c r="B401" i="2"/>
  <c r="B402" i="2"/>
  <c r="B403" i="2"/>
  <c r="B404" i="2"/>
  <c r="B405" i="2"/>
  <c r="B406" i="2"/>
  <c r="B407" i="2"/>
  <c r="B408" i="2"/>
  <c r="B409" i="2"/>
  <c r="B410" i="2"/>
  <c r="B411" i="2"/>
  <c r="B412" i="2"/>
  <c r="B413" i="2"/>
  <c r="B414" i="2"/>
  <c r="B415" i="2"/>
  <c r="B416" i="2"/>
  <c r="B417" i="2"/>
  <c r="B418" i="2"/>
  <c r="B419" i="2"/>
  <c r="B420" i="2"/>
  <c r="B421" i="2"/>
  <c r="B422" i="2"/>
  <c r="B423" i="2"/>
  <c r="B424" i="2"/>
  <c r="B425" i="2"/>
  <c r="B426" i="2"/>
  <c r="B427" i="2"/>
  <c r="B428" i="2"/>
  <c r="B429" i="2"/>
  <c r="B430" i="2"/>
  <c r="B431" i="2"/>
  <c r="B432" i="2"/>
  <c r="B433" i="2"/>
  <c r="B434" i="2"/>
  <c r="B435" i="2"/>
  <c r="B436" i="2"/>
  <c r="B437" i="2"/>
  <c r="B438" i="2"/>
  <c r="B439" i="2"/>
  <c r="F379" i="2"/>
  <c r="F380" i="2"/>
  <c r="F381" i="2"/>
  <c r="F382" i="2"/>
  <c r="F383" i="2"/>
  <c r="F384" i="2"/>
  <c r="F385" i="2"/>
  <c r="F386" i="2"/>
  <c r="F387" i="2"/>
  <c r="F388" i="2"/>
  <c r="F389" i="2"/>
  <c r="F390" i="2"/>
  <c r="F391" i="2"/>
  <c r="F392" i="2"/>
  <c r="F393" i="2"/>
  <c r="F394" i="2"/>
  <c r="F395" i="2"/>
  <c r="F396" i="2"/>
  <c r="F397" i="2"/>
  <c r="F398" i="2"/>
  <c r="F399" i="2"/>
  <c r="F400" i="2"/>
  <c r="F401" i="2"/>
  <c r="F402" i="2"/>
  <c r="F403" i="2"/>
  <c r="F404" i="2"/>
  <c r="F405" i="2"/>
  <c r="F406" i="2"/>
  <c r="F407" i="2"/>
  <c r="F408" i="2"/>
  <c r="F409" i="2"/>
  <c r="F410" i="2"/>
  <c r="F411" i="2"/>
  <c r="F412" i="2"/>
  <c r="F413" i="2"/>
  <c r="F414" i="2"/>
  <c r="F415" i="2"/>
  <c r="F416" i="2"/>
  <c r="F417" i="2"/>
  <c r="F418" i="2"/>
  <c r="F419" i="2"/>
  <c r="F420" i="2"/>
  <c r="F421" i="2"/>
  <c r="F422" i="2"/>
  <c r="F423" i="2"/>
  <c r="F424" i="2"/>
  <c r="F425" i="2"/>
  <c r="F426" i="2"/>
  <c r="F427" i="2"/>
  <c r="F428" i="2"/>
  <c r="F429" i="2"/>
  <c r="F430" i="2"/>
  <c r="F431" i="2"/>
  <c r="F432" i="2"/>
  <c r="F433" i="2"/>
  <c r="F434" i="2"/>
  <c r="F435" i="2"/>
  <c r="F436" i="2"/>
  <c r="F437" i="2"/>
  <c r="F438" i="2"/>
  <c r="F439" i="2"/>
  <c r="F440" i="2"/>
  <c r="F441" i="2"/>
  <c r="F442" i="2"/>
  <c r="F443" i="2"/>
  <c r="F444" i="2"/>
  <c r="F445" i="2"/>
  <c r="F446" i="2"/>
  <c r="F447" i="2"/>
  <c r="F448" i="2"/>
  <c r="F449" i="2"/>
  <c r="F450" i="2"/>
  <c r="F451" i="2"/>
  <c r="F452" i="2"/>
  <c r="F453" i="2"/>
  <c r="F454" i="2"/>
  <c r="F455" i="2"/>
  <c r="F456" i="2"/>
  <c r="F457" i="2"/>
  <c r="F458" i="2"/>
  <c r="F459" i="2"/>
  <c r="F460" i="2"/>
  <c r="F461" i="2"/>
  <c r="F462" i="2"/>
  <c r="F463" i="2"/>
  <c r="F464" i="2"/>
  <c r="F465" i="2"/>
  <c r="F466" i="2"/>
  <c r="F467" i="2"/>
  <c r="F468" i="2"/>
  <c r="F469" i="2"/>
  <c r="F470" i="2"/>
  <c r="F471" i="2"/>
  <c r="F472" i="2"/>
  <c r="F473" i="2"/>
  <c r="F474" i="2"/>
  <c r="F475" i="2"/>
  <c r="F476" i="2"/>
  <c r="F477" i="2"/>
  <c r="F478" i="2"/>
  <c r="F479" i="2"/>
  <c r="F480" i="2"/>
  <c r="F481" i="2"/>
  <c r="F482" i="2"/>
  <c r="F483" i="2"/>
  <c r="B593" i="2"/>
  <c r="B440" i="2"/>
  <c r="B441" i="2"/>
  <c r="B442" i="2"/>
  <c r="B443" i="2"/>
  <c r="B444" i="2"/>
  <c r="B445" i="2"/>
  <c r="B446" i="2"/>
  <c r="B447" i="2"/>
  <c r="B448" i="2"/>
  <c r="B449" i="2"/>
  <c r="B450" i="2"/>
  <c r="B451" i="2"/>
  <c r="B452" i="2"/>
  <c r="B453" i="2"/>
  <c r="B454" i="2"/>
  <c r="B455" i="2"/>
  <c r="B456" i="2"/>
  <c r="B457" i="2"/>
  <c r="B458" i="2"/>
  <c r="B459" i="2"/>
  <c r="B460" i="2"/>
  <c r="B461" i="2"/>
  <c r="B462" i="2"/>
  <c r="B463" i="2"/>
  <c r="B464" i="2"/>
  <c r="B465" i="2"/>
  <c r="B466" i="2"/>
  <c r="B467" i="2"/>
  <c r="B468" i="2"/>
  <c r="B469" i="2"/>
  <c r="B470" i="2"/>
  <c r="B471" i="2"/>
  <c r="B472" i="2"/>
  <c r="B473" i="2"/>
  <c r="B474" i="2"/>
  <c r="B475" i="2"/>
  <c r="B476" i="2"/>
  <c r="B477" i="2"/>
  <c r="B478" i="2"/>
  <c r="B479" i="2"/>
  <c r="B480" i="2"/>
  <c r="B481" i="2"/>
  <c r="B482" i="2"/>
  <c r="B483" i="2"/>
  <c r="B484" i="2"/>
  <c r="B485" i="2"/>
  <c r="B486" i="2"/>
  <c r="B487" i="2"/>
  <c r="B488" i="2"/>
  <c r="B489" i="2"/>
  <c r="B490" i="2"/>
  <c r="B491" i="2"/>
  <c r="B492" i="2"/>
  <c r="B493" i="2"/>
  <c r="B494" i="2"/>
  <c r="B495" i="2"/>
  <c r="B496" i="2"/>
  <c r="B497" i="2"/>
  <c r="B498" i="2"/>
  <c r="B499" i="2"/>
  <c r="B500" i="2"/>
  <c r="B501" i="2"/>
  <c r="B502" i="2"/>
  <c r="B503" i="2"/>
  <c r="B504" i="2"/>
  <c r="B505" i="2"/>
  <c r="B506" i="2"/>
  <c r="B507" i="2"/>
  <c r="B508" i="2"/>
  <c r="B509" i="2"/>
  <c r="B510" i="2"/>
  <c r="B511" i="2"/>
  <c r="B512" i="2"/>
  <c r="B513" i="2"/>
  <c r="B514" i="2"/>
  <c r="B515" i="2"/>
  <c r="B516" i="2"/>
  <c r="B517" i="2"/>
  <c r="B518" i="2"/>
  <c r="B519" i="2"/>
  <c r="B520" i="2"/>
  <c r="B521" i="2"/>
  <c r="B522" i="2"/>
  <c r="B523" i="2"/>
  <c r="B524" i="2"/>
  <c r="B525" i="2"/>
  <c r="B526" i="2"/>
  <c r="B527" i="2"/>
  <c r="B528" i="2"/>
  <c r="B529" i="2"/>
  <c r="B530" i="2"/>
  <c r="B531" i="2"/>
  <c r="B532" i="2"/>
  <c r="B533" i="2"/>
  <c r="B534" i="2"/>
  <c r="B535" i="2"/>
  <c r="B536" i="2"/>
  <c r="B537" i="2"/>
  <c r="B538" i="2"/>
  <c r="B539" i="2"/>
  <c r="B540" i="2"/>
  <c r="B541" i="2"/>
  <c r="B542" i="2"/>
  <c r="B543" i="2"/>
  <c r="B544" i="2"/>
  <c r="B545" i="2"/>
  <c r="B546" i="2"/>
  <c r="B547" i="2"/>
  <c r="B548" i="2"/>
  <c r="B549" i="2"/>
  <c r="B550" i="2"/>
  <c r="B551" i="2"/>
  <c r="B552" i="2"/>
  <c r="B553" i="2"/>
  <c r="B554" i="2"/>
  <c r="B555" i="2"/>
  <c r="B556" i="2"/>
  <c r="B557" i="2"/>
  <c r="B558" i="2"/>
  <c r="B559" i="2"/>
  <c r="B560" i="2"/>
  <c r="B561" i="2"/>
  <c r="B562" i="2"/>
  <c r="B563" i="2"/>
  <c r="B564" i="2"/>
  <c r="B565" i="2"/>
  <c r="B566" i="2"/>
  <c r="B567" i="2"/>
  <c r="B568" i="2"/>
  <c r="B569" i="2"/>
  <c r="B570" i="2"/>
  <c r="B571" i="2"/>
  <c r="B572" i="2"/>
  <c r="B573" i="2"/>
  <c r="B574" i="2"/>
  <c r="B575" i="2"/>
  <c r="B576" i="2"/>
  <c r="B577" i="2"/>
  <c r="B578" i="2"/>
  <c r="B579" i="2"/>
  <c r="B580" i="2"/>
  <c r="B581" i="2"/>
  <c r="B582" i="2"/>
  <c r="B583" i="2"/>
  <c r="B584" i="2"/>
  <c r="B585" i="2"/>
  <c r="B586" i="2"/>
  <c r="B587" i="2"/>
  <c r="B588" i="2"/>
  <c r="B589" i="2"/>
  <c r="B590" i="2"/>
  <c r="B591" i="2"/>
  <c r="B592" i="2"/>
  <c r="E440" i="2"/>
  <c r="E441" i="2"/>
  <c r="E442" i="2"/>
  <c r="E443" i="2"/>
  <c r="E444" i="2"/>
  <c r="E445" i="2"/>
  <c r="E446" i="2"/>
  <c r="E447" i="2"/>
  <c r="E448" i="2"/>
  <c r="E449" i="2"/>
  <c r="E450" i="2"/>
  <c r="E451" i="2"/>
  <c r="E452" i="2"/>
  <c r="E453" i="2"/>
  <c r="E454" i="2"/>
  <c r="E455" i="2"/>
  <c r="E456" i="2"/>
  <c r="E457" i="2"/>
  <c r="E458" i="2"/>
  <c r="E459" i="2"/>
  <c r="E460" i="2"/>
  <c r="E461" i="2"/>
  <c r="E462" i="2"/>
  <c r="E463" i="2"/>
  <c r="E464" i="2"/>
  <c r="E465" i="2"/>
  <c r="E466" i="2"/>
  <c r="E467" i="2"/>
  <c r="E468" i="2"/>
  <c r="E469" i="2"/>
  <c r="E470" i="2"/>
  <c r="E471" i="2"/>
  <c r="E472" i="2"/>
  <c r="E473" i="2"/>
  <c r="E474" i="2"/>
  <c r="E475" i="2"/>
  <c r="E476" i="2"/>
  <c r="E477" i="2"/>
  <c r="E478" i="2"/>
  <c r="E479" i="2"/>
  <c r="E480" i="2"/>
  <c r="E481" i="2"/>
  <c r="E482" i="2"/>
  <c r="E483" i="2"/>
  <c r="H2" i="39"/>
  <c r="H3" i="39"/>
  <c r="H4" i="39"/>
  <c r="H5" i="39"/>
  <c r="H6" i="39"/>
  <c r="H7" i="39"/>
  <c r="H8" i="39"/>
  <c r="H9" i="39"/>
  <c r="H10" i="39"/>
  <c r="H11" i="39"/>
  <c r="H12" i="39"/>
  <c r="H13" i="39"/>
  <c r="H14" i="39"/>
  <c r="H15" i="39"/>
  <c r="H16" i="39"/>
  <c r="H17" i="39"/>
  <c r="H18" i="39"/>
  <c r="H19" i="39"/>
  <c r="H20" i="39"/>
  <c r="H21" i="39"/>
  <c r="H22" i="39"/>
  <c r="H23" i="39"/>
  <c r="H24" i="39"/>
  <c r="H25" i="39"/>
  <c r="C19" i="49"/>
  <c r="C22" i="49"/>
  <c r="C24" i="49"/>
  <c r="P24" i="1"/>
  <c r="E3" i="1"/>
  <c r="E4" i="1"/>
  <c r="E5" i="1"/>
  <c r="E6" i="1"/>
  <c r="E7" i="1"/>
  <c r="E8" i="1"/>
  <c r="E9" i="1"/>
  <c r="E10" i="1"/>
  <c r="E11" i="1"/>
  <c r="E12" i="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3" i="1"/>
  <c r="E64" i="1"/>
  <c r="E62" i="1"/>
  <c r="E66" i="1"/>
  <c r="E67" i="1"/>
  <c r="E65" i="1"/>
  <c r="E69" i="1"/>
  <c r="E70" i="1"/>
  <c r="E68" i="1"/>
  <c r="E72" i="1"/>
  <c r="E73" i="1"/>
  <c r="E71" i="1"/>
  <c r="E75" i="1"/>
  <c r="E74" i="1"/>
  <c r="E76" i="1"/>
  <c r="E82" i="1"/>
  <c r="E83" i="1"/>
  <c r="E77" i="1"/>
  <c r="E81" i="1"/>
  <c r="E80" i="1"/>
  <c r="E78" i="1"/>
  <c r="E79" i="1"/>
  <c r="E84" i="1"/>
  <c r="E85" i="1"/>
  <c r="E86" i="1"/>
  <c r="E87" i="1"/>
  <c r="E88" i="1"/>
  <c r="E89" i="1"/>
  <c r="E91" i="1"/>
  <c r="E92" i="1"/>
  <c r="E90" i="1"/>
  <c r="E102" i="1"/>
  <c r="E96" i="1"/>
  <c r="E99" i="1"/>
  <c r="E100" i="1"/>
  <c r="E93" i="1"/>
  <c r="E97" i="1"/>
  <c r="E103" i="1"/>
  <c r="E101" i="1"/>
  <c r="E94" i="1"/>
  <c r="E95" i="1"/>
  <c r="E98" i="1"/>
  <c r="E104" i="1"/>
  <c r="E106" i="1"/>
  <c r="E105" i="1"/>
  <c r="E108" i="1"/>
  <c r="E109" i="1"/>
  <c r="E107" i="1"/>
  <c r="E112" i="1"/>
  <c r="E111" i="1"/>
  <c r="E110" i="1"/>
  <c r="E113" i="1"/>
  <c r="E114" i="1"/>
  <c r="E115" i="1"/>
  <c r="E116" i="1"/>
  <c r="E117" i="1"/>
  <c r="E118" i="1"/>
  <c r="E119" i="1"/>
  <c r="E120" i="1"/>
  <c r="E121" i="1"/>
  <c r="E122" i="1"/>
  <c r="E123" i="1"/>
  <c r="E124" i="1"/>
  <c r="E125" i="1"/>
  <c r="E126" i="1"/>
  <c r="E127" i="1"/>
  <c r="E128" i="1"/>
  <c r="E129" i="1"/>
  <c r="D2" i="1"/>
  <c r="AB2" i="1" s="1"/>
  <c r="D3" i="1"/>
  <c r="D4" i="1"/>
  <c r="AB4" i="1" s="1"/>
  <c r="D5" i="1"/>
  <c r="AB5" i="1" s="1"/>
  <c r="D6" i="1"/>
  <c r="D7" i="1"/>
  <c r="D8" i="1"/>
  <c r="AB8" i="1" s="1"/>
  <c r="D9" i="1"/>
  <c r="AB9" i="1" s="1"/>
  <c r="D10" i="1"/>
  <c r="AB10" i="1" s="1"/>
  <c r="D11" i="1"/>
  <c r="AB11" i="1" s="1"/>
  <c r="D12" i="1"/>
  <c r="D13" i="1"/>
  <c r="D14" i="1"/>
  <c r="D15" i="1"/>
  <c r="AB15" i="1" s="1"/>
  <c r="D16" i="1"/>
  <c r="D17" i="1"/>
  <c r="AB17" i="1" s="1"/>
  <c r="D18" i="1"/>
  <c r="AB18" i="1" s="1"/>
  <c r="D19" i="1"/>
  <c r="AB19" i="1" s="1"/>
  <c r="D20" i="1"/>
  <c r="AB20" i="1" s="1"/>
  <c r="D21" i="1"/>
  <c r="AB21" i="1" s="1"/>
  <c r="D22" i="1"/>
  <c r="D23" i="1"/>
  <c r="D24" i="1"/>
  <c r="D25" i="1"/>
  <c r="AB25" i="1" s="1"/>
  <c r="D26" i="1"/>
  <c r="AB26" i="1" s="1"/>
  <c r="D27" i="1"/>
  <c r="D28" i="1"/>
  <c r="AB28" i="1" s="1"/>
  <c r="D29" i="1"/>
  <c r="AB29" i="1" s="1"/>
  <c r="D30" i="1"/>
  <c r="D31" i="1"/>
  <c r="D32" i="1"/>
  <c r="D33" i="1"/>
  <c r="D34" i="1"/>
  <c r="D35" i="1"/>
  <c r="D36" i="1"/>
  <c r="D37" i="1"/>
  <c r="AB37" i="1" s="1"/>
  <c r="D38" i="1"/>
  <c r="AB38" i="1" s="1"/>
  <c r="D39" i="1"/>
  <c r="D40" i="1"/>
  <c r="AB40" i="1" s="1"/>
  <c r="D41" i="1"/>
  <c r="D42" i="1"/>
  <c r="D43" i="1"/>
  <c r="AB43" i="1" s="1"/>
  <c r="D44" i="1"/>
  <c r="D45" i="1"/>
  <c r="D46" i="1"/>
  <c r="AB46" i="1" s="1"/>
  <c r="D47" i="1"/>
  <c r="AB47" i="1" s="1"/>
  <c r="D48" i="1"/>
  <c r="D49" i="1"/>
  <c r="AB49" i="1" s="1"/>
  <c r="D50" i="1"/>
  <c r="D51" i="1"/>
  <c r="D52" i="1"/>
  <c r="D53" i="1"/>
  <c r="D54" i="1"/>
  <c r="AB54" i="1" s="1"/>
  <c r="D55" i="1"/>
  <c r="AB55" i="1" s="1"/>
  <c r="D56" i="1"/>
  <c r="AB56" i="1" s="1"/>
  <c r="D57" i="1"/>
  <c r="AB57" i="1" s="1"/>
  <c r="D58" i="1"/>
  <c r="AB58" i="1" s="1"/>
  <c r="D59" i="1"/>
  <c r="AB59" i="1" s="1"/>
  <c r="D60" i="1"/>
  <c r="D61" i="1"/>
  <c r="D63" i="1"/>
  <c r="AB63" i="1" s="1"/>
  <c r="D64" i="1"/>
  <c r="D62" i="1"/>
  <c r="AB62" i="1" s="1"/>
  <c r="D66" i="1"/>
  <c r="AB66" i="1" s="1"/>
  <c r="D67" i="1"/>
  <c r="D65" i="1"/>
  <c r="AB65" i="1" s="1"/>
  <c r="D69" i="1"/>
  <c r="AB69" i="1" s="1"/>
  <c r="D70" i="1"/>
  <c r="D68" i="1"/>
  <c r="D72" i="1"/>
  <c r="D73" i="1"/>
  <c r="D71" i="1"/>
  <c r="AB71" i="1" s="1"/>
  <c r="D75" i="1"/>
  <c r="AB75" i="1" s="1"/>
  <c r="D74" i="1"/>
  <c r="D76" i="1"/>
  <c r="D82" i="1"/>
  <c r="AB82" i="1" s="1"/>
  <c r="D83" i="1"/>
  <c r="D77" i="1"/>
  <c r="AB77" i="1" s="1"/>
  <c r="D81" i="1"/>
  <c r="D80" i="1"/>
  <c r="AB80" i="1" s="1"/>
  <c r="D78" i="1"/>
  <c r="AB78" i="1" s="1"/>
  <c r="D79" i="1"/>
  <c r="AB79" i="1" s="1"/>
  <c r="D84" i="1"/>
  <c r="D85" i="1"/>
  <c r="AB85" i="1" s="1"/>
  <c r="D86" i="1"/>
  <c r="D87" i="1"/>
  <c r="AB87" i="1" s="1"/>
  <c r="D88" i="1"/>
  <c r="D89" i="1"/>
  <c r="AB89" i="1" s="1"/>
  <c r="D91" i="1"/>
  <c r="AB91" i="1" s="1"/>
  <c r="D92" i="1"/>
  <c r="AB92" i="1" s="1"/>
  <c r="D90" i="1"/>
  <c r="AB90" i="1" s="1"/>
  <c r="D102" i="1"/>
  <c r="AB102" i="1" s="1"/>
  <c r="D96" i="1"/>
  <c r="D99" i="1"/>
  <c r="D100" i="1"/>
  <c r="D93" i="1"/>
  <c r="D97" i="1"/>
  <c r="D103" i="1"/>
  <c r="D101" i="1"/>
  <c r="AB101" i="1" s="1"/>
  <c r="D94" i="1"/>
  <c r="AB94" i="1" s="1"/>
  <c r="D95" i="1"/>
  <c r="AB95" i="1" s="1"/>
  <c r="D98" i="1"/>
  <c r="AB98" i="1" s="1"/>
  <c r="D104" i="1"/>
  <c r="D106" i="1"/>
  <c r="AB106" i="1" s="1"/>
  <c r="D105" i="1"/>
  <c r="D108" i="1"/>
  <c r="D109" i="1"/>
  <c r="AB109" i="1" s="1"/>
  <c r="D107" i="1"/>
  <c r="AB107" i="1" s="1"/>
  <c r="D112" i="1"/>
  <c r="AB112" i="1" s="1"/>
  <c r="D111" i="1"/>
  <c r="D110" i="1"/>
  <c r="D113" i="1"/>
  <c r="D114" i="1"/>
  <c r="D115" i="1"/>
  <c r="D116" i="1"/>
  <c r="D117" i="1"/>
  <c r="D118" i="1"/>
  <c r="AB118" i="1" s="1"/>
  <c r="D119" i="1"/>
  <c r="AB119" i="1" s="1"/>
  <c r="D120" i="1"/>
  <c r="D121" i="1"/>
  <c r="D122" i="1"/>
  <c r="D123" i="1"/>
  <c r="D124" i="1"/>
  <c r="AB124" i="1" s="1"/>
  <c r="D125" i="1"/>
  <c r="D126" i="1"/>
  <c r="D127" i="1"/>
  <c r="AB127" i="1" s="1"/>
  <c r="D128" i="1"/>
  <c r="AB128" i="1" s="1"/>
  <c r="D129" i="1"/>
  <c r="D130" i="1"/>
  <c r="AB130" i="1" s="1"/>
  <c r="D131" i="1"/>
  <c r="AB131" i="1" s="1"/>
  <c r="C2" i="31"/>
  <c r="Y131" i="1"/>
  <c r="D2" i="31" l="1"/>
  <c r="D3" i="31" s="1"/>
  <c r="F120" i="1"/>
  <c r="T120" i="1" s="1"/>
  <c r="F84" i="1"/>
  <c r="T84" i="1" s="1"/>
  <c r="F116" i="1"/>
  <c r="T116" i="1" s="1"/>
  <c r="F97" i="1"/>
  <c r="T97" i="1" s="1"/>
  <c r="F81" i="1"/>
  <c r="T81" i="1" s="1"/>
  <c r="F44" i="1"/>
  <c r="T44" i="1" s="1"/>
  <c r="F22" i="1"/>
  <c r="T22" i="1" s="1"/>
  <c r="F69" i="1"/>
  <c r="T69" i="1" s="1"/>
  <c r="F117" i="1"/>
  <c r="T117" i="1" s="1"/>
  <c r="F103" i="1"/>
  <c r="T103" i="1" s="1"/>
  <c r="F64" i="1"/>
  <c r="T64" i="1" s="1"/>
  <c r="F45" i="1"/>
  <c r="T45" i="1" s="1"/>
  <c r="F27" i="1"/>
  <c r="T27" i="1" s="1"/>
  <c r="F115" i="1"/>
  <c r="T115" i="1" s="1"/>
  <c r="F93" i="1"/>
  <c r="T93" i="1" s="1"/>
  <c r="F61" i="1"/>
  <c r="T61" i="1" s="1"/>
  <c r="F7" i="1"/>
  <c r="T7" i="1" s="1"/>
  <c r="F114" i="1"/>
  <c r="T114" i="1" s="1"/>
  <c r="F100" i="1"/>
  <c r="T100" i="1" s="1"/>
  <c r="F83" i="1"/>
  <c r="T83" i="1" s="1"/>
  <c r="F60" i="1"/>
  <c r="T60" i="1" s="1"/>
  <c r="F42" i="1"/>
  <c r="T42" i="1" s="1"/>
  <c r="F24" i="1"/>
  <c r="T24" i="1" s="1"/>
  <c r="F6" i="1"/>
  <c r="T6" i="1" s="1"/>
  <c r="O17" i="50"/>
  <c r="AG17" i="50"/>
  <c r="AY17" i="50"/>
  <c r="BC17" i="50"/>
  <c r="P17" i="50"/>
  <c r="AH17" i="50"/>
  <c r="AZ17" i="50"/>
  <c r="S17" i="50"/>
  <c r="Q17" i="50"/>
  <c r="AI17" i="50"/>
  <c r="BA17" i="50"/>
  <c r="R17" i="50"/>
  <c r="AJ17" i="50"/>
  <c r="BB17" i="50"/>
  <c r="AK17" i="50"/>
  <c r="T17" i="50"/>
  <c r="AL17" i="50"/>
  <c r="BD17" i="50"/>
  <c r="W17" i="50"/>
  <c r="AO17" i="50"/>
  <c r="BG17" i="50"/>
  <c r="AA17" i="50"/>
  <c r="AS17" i="50"/>
  <c r="AC17" i="50"/>
  <c r="AU17" i="50"/>
  <c r="AX17" i="50"/>
  <c r="AD17" i="50"/>
  <c r="AV17" i="50"/>
  <c r="AF17" i="50"/>
  <c r="AE17" i="50"/>
  <c r="AW17" i="50"/>
  <c r="U17" i="50"/>
  <c r="V17" i="50"/>
  <c r="X17" i="50"/>
  <c r="Y17" i="50"/>
  <c r="Z17" i="50"/>
  <c r="AB17" i="50"/>
  <c r="AN17" i="50"/>
  <c r="AP17" i="50"/>
  <c r="BE17" i="50"/>
  <c r="AM17" i="50"/>
  <c r="AQ17" i="50"/>
  <c r="AT17" i="50"/>
  <c r="BF17" i="50"/>
  <c r="AR17" i="50"/>
  <c r="X16" i="50"/>
  <c r="AP16" i="50"/>
  <c r="AB16" i="50"/>
  <c r="Y16" i="50"/>
  <c r="AQ16" i="50"/>
  <c r="Z16" i="50"/>
  <c r="AR16" i="50"/>
  <c r="AT16" i="50"/>
  <c r="AA16" i="50"/>
  <c r="AS16" i="50"/>
  <c r="AC16" i="50"/>
  <c r="AU16" i="50"/>
  <c r="AF16" i="50"/>
  <c r="AX16" i="50"/>
  <c r="R16" i="50"/>
  <c r="AJ16" i="50"/>
  <c r="BB16" i="50"/>
  <c r="S16" i="50"/>
  <c r="AK16" i="50"/>
  <c r="T16" i="50"/>
  <c r="AL16" i="50"/>
  <c r="BD16" i="50"/>
  <c r="W16" i="50"/>
  <c r="U16" i="50"/>
  <c r="AM16" i="50"/>
  <c r="BE16" i="50"/>
  <c r="AO16" i="50"/>
  <c r="V16" i="50"/>
  <c r="AN16" i="50"/>
  <c r="BF16" i="50"/>
  <c r="BG16" i="50"/>
  <c r="BA16" i="50"/>
  <c r="BC16" i="50"/>
  <c r="AH16" i="50"/>
  <c r="AI16" i="50"/>
  <c r="AV16" i="50"/>
  <c r="AZ16" i="50"/>
  <c r="AW16" i="50"/>
  <c r="Q16" i="50"/>
  <c r="AG16" i="50"/>
  <c r="AY16" i="50"/>
  <c r="O16" i="50"/>
  <c r="AE16" i="50"/>
  <c r="AD16" i="50"/>
  <c r="P16" i="50"/>
  <c r="X14" i="50"/>
  <c r="AP14" i="50"/>
  <c r="Y14" i="50"/>
  <c r="AQ14" i="50"/>
  <c r="AB14" i="50"/>
  <c r="Z14" i="50"/>
  <c r="AR14" i="50"/>
  <c r="AT14" i="50"/>
  <c r="AA14" i="50"/>
  <c r="AS14" i="50"/>
  <c r="AC14" i="50"/>
  <c r="AU14" i="50"/>
  <c r="AD14" i="50"/>
  <c r="AV14" i="50"/>
  <c r="AF14" i="50"/>
  <c r="AX14" i="50"/>
  <c r="R14" i="50"/>
  <c r="AJ14" i="50"/>
  <c r="BB14" i="50"/>
  <c r="S14" i="50"/>
  <c r="AK14" i="50"/>
  <c r="BC14" i="50"/>
  <c r="T14" i="50"/>
  <c r="AL14" i="50"/>
  <c r="BD14" i="50"/>
  <c r="AO14" i="50"/>
  <c r="U14" i="50"/>
  <c r="AM14" i="50"/>
  <c r="BE14" i="50"/>
  <c r="W14" i="50"/>
  <c r="V14" i="50"/>
  <c r="AN14" i="50"/>
  <c r="BF14" i="50"/>
  <c r="BG14" i="50"/>
  <c r="O14" i="50"/>
  <c r="P14" i="50"/>
  <c r="Q14" i="50"/>
  <c r="AE14" i="50"/>
  <c r="AI14" i="50"/>
  <c r="AY14" i="50"/>
  <c r="AH14" i="50"/>
  <c r="AW14" i="50"/>
  <c r="AZ14" i="50"/>
  <c r="BA14" i="50"/>
  <c r="AG14" i="50"/>
  <c r="O13" i="50"/>
  <c r="AG13" i="50"/>
  <c r="AY13" i="50"/>
  <c r="BC13" i="50"/>
  <c r="P13" i="50"/>
  <c r="AH13" i="50"/>
  <c r="AZ13" i="50"/>
  <c r="S13" i="50"/>
  <c r="Q13" i="50"/>
  <c r="AI13" i="50"/>
  <c r="BA13" i="50"/>
  <c r="R13" i="50"/>
  <c r="AJ13" i="50"/>
  <c r="BB13" i="50"/>
  <c r="AK13" i="50"/>
  <c r="T13" i="50"/>
  <c r="AL13" i="50"/>
  <c r="BD13" i="50"/>
  <c r="AM13" i="50"/>
  <c r="U13" i="50"/>
  <c r="BE13" i="50"/>
  <c r="W13" i="50"/>
  <c r="AO13" i="50"/>
  <c r="BG13" i="50"/>
  <c r="AA13" i="50"/>
  <c r="AS13" i="50"/>
  <c r="AB13" i="50"/>
  <c r="AT13" i="50"/>
  <c r="AC13" i="50"/>
  <c r="AU13" i="50"/>
  <c r="AF13" i="50"/>
  <c r="AD13" i="50"/>
  <c r="AV13" i="50"/>
  <c r="AE13" i="50"/>
  <c r="AW13" i="50"/>
  <c r="AX13" i="50"/>
  <c r="BF13" i="50"/>
  <c r="X13" i="50"/>
  <c r="AN13" i="50"/>
  <c r="AQ13" i="50"/>
  <c r="AR13" i="50"/>
  <c r="Y13" i="50"/>
  <c r="Z13" i="50"/>
  <c r="V13" i="50"/>
  <c r="AP13" i="50"/>
  <c r="X12" i="50"/>
  <c r="AP12" i="50"/>
  <c r="AB12" i="50"/>
  <c r="Y12" i="50"/>
  <c r="AQ12" i="50"/>
  <c r="Z12" i="50"/>
  <c r="AR12" i="50"/>
  <c r="AT12" i="50"/>
  <c r="AA12" i="50"/>
  <c r="AS12" i="50"/>
  <c r="AC12" i="50"/>
  <c r="AU12" i="50"/>
  <c r="AD12" i="50"/>
  <c r="AV12" i="50"/>
  <c r="AF12" i="50"/>
  <c r="AX12" i="50"/>
  <c r="R12" i="50"/>
  <c r="AJ12" i="50"/>
  <c r="BB12" i="50"/>
  <c r="S12" i="50"/>
  <c r="AK12" i="50"/>
  <c r="BC12" i="50"/>
  <c r="T12" i="50"/>
  <c r="AL12" i="50"/>
  <c r="BD12" i="50"/>
  <c r="W12" i="50"/>
  <c r="U12" i="50"/>
  <c r="AM12" i="50"/>
  <c r="BE12" i="50"/>
  <c r="BG12" i="50"/>
  <c r="V12" i="50"/>
  <c r="AN12" i="50"/>
  <c r="BF12" i="50"/>
  <c r="AO12" i="50"/>
  <c r="P12" i="50"/>
  <c r="Q12" i="50"/>
  <c r="AE12" i="50"/>
  <c r="AG12" i="50"/>
  <c r="AH12" i="50"/>
  <c r="O12" i="50"/>
  <c r="AI12" i="50"/>
  <c r="AW12" i="50"/>
  <c r="AY12" i="50"/>
  <c r="AZ12" i="50"/>
  <c r="BA12" i="50"/>
  <c r="O19" i="50"/>
  <c r="AG19" i="50"/>
  <c r="AY19" i="50"/>
  <c r="BC19" i="50"/>
  <c r="P19" i="50"/>
  <c r="AH19" i="50"/>
  <c r="AZ19" i="50"/>
  <c r="S19" i="50"/>
  <c r="Q19" i="50"/>
  <c r="AI19" i="50"/>
  <c r="BA19" i="50"/>
  <c r="AK19" i="50"/>
  <c r="R19" i="50"/>
  <c r="AJ19" i="50"/>
  <c r="BB19" i="50"/>
  <c r="T19" i="50"/>
  <c r="AL19" i="50"/>
  <c r="BD19" i="50"/>
  <c r="W19" i="50"/>
  <c r="AO19" i="50"/>
  <c r="BG19" i="50"/>
  <c r="AA19" i="50"/>
  <c r="AS19" i="50"/>
  <c r="AC19" i="50"/>
  <c r="AU19" i="50"/>
  <c r="AF19" i="50"/>
  <c r="AD19" i="50"/>
  <c r="AV19" i="50"/>
  <c r="AX19" i="50"/>
  <c r="AE19" i="50"/>
  <c r="AW19" i="50"/>
  <c r="Z19" i="50"/>
  <c r="AB19" i="50"/>
  <c r="AM19" i="50"/>
  <c r="AN19" i="50"/>
  <c r="AP19" i="50"/>
  <c r="BF19" i="50"/>
  <c r="U19" i="50"/>
  <c r="X19" i="50"/>
  <c r="V19" i="50"/>
  <c r="AQ19" i="50"/>
  <c r="AR19" i="50"/>
  <c r="AT19" i="50"/>
  <c r="BE19" i="50"/>
  <c r="Y19" i="50"/>
  <c r="X18" i="50"/>
  <c r="AP18" i="50"/>
  <c r="Y18" i="50"/>
  <c r="AQ18" i="50"/>
  <c r="Z18" i="50"/>
  <c r="AR18" i="50"/>
  <c r="AB18" i="50"/>
  <c r="AA18" i="50"/>
  <c r="AS18" i="50"/>
  <c r="AT18" i="50"/>
  <c r="AC18" i="50"/>
  <c r="AU18" i="50"/>
  <c r="AF18" i="50"/>
  <c r="AX18" i="50"/>
  <c r="R18" i="50"/>
  <c r="AJ18" i="50"/>
  <c r="BB18" i="50"/>
  <c r="T18" i="50"/>
  <c r="AL18" i="50"/>
  <c r="BD18" i="50"/>
  <c r="U18" i="50"/>
  <c r="AM18" i="50"/>
  <c r="BE18" i="50"/>
  <c r="AO18" i="50"/>
  <c r="V18" i="50"/>
  <c r="AN18" i="50"/>
  <c r="BF18" i="50"/>
  <c r="W18" i="50"/>
  <c r="BG18" i="50"/>
  <c r="Q18" i="50"/>
  <c r="S18" i="50"/>
  <c r="AD18" i="50"/>
  <c r="AE18" i="50"/>
  <c r="AG18" i="50"/>
  <c r="P18" i="50"/>
  <c r="AH18" i="50"/>
  <c r="AI18" i="50"/>
  <c r="AW18" i="50"/>
  <c r="AZ18" i="50"/>
  <c r="AK18" i="50"/>
  <c r="AV18" i="50"/>
  <c r="AY18" i="50"/>
  <c r="O18" i="50"/>
  <c r="BA18" i="50"/>
  <c r="BC18" i="50"/>
  <c r="O11" i="50"/>
  <c r="AG11" i="50"/>
  <c r="AY11" i="50"/>
  <c r="P11" i="50"/>
  <c r="AH11" i="50"/>
  <c r="AZ11" i="50"/>
  <c r="AK11" i="50"/>
  <c r="Q11" i="50"/>
  <c r="AI11" i="50"/>
  <c r="BA11" i="50"/>
  <c r="S11" i="50"/>
  <c r="R11" i="50"/>
  <c r="AJ11" i="50"/>
  <c r="BB11" i="50"/>
  <c r="BC11" i="50"/>
  <c r="T11" i="50"/>
  <c r="AL11" i="50"/>
  <c r="BD11" i="50"/>
  <c r="U11" i="50"/>
  <c r="AM11" i="50"/>
  <c r="BE11" i="50"/>
  <c r="W11" i="50"/>
  <c r="AO11" i="50"/>
  <c r="BG11" i="50"/>
  <c r="AA11" i="50"/>
  <c r="AS11" i="50"/>
  <c r="AB11" i="50"/>
  <c r="AT11" i="50"/>
  <c r="AC11" i="50"/>
  <c r="AU11" i="50"/>
  <c r="AD11" i="50"/>
  <c r="AV11" i="50"/>
  <c r="AX11" i="50"/>
  <c r="AE11" i="50"/>
  <c r="AW11" i="50"/>
  <c r="AF11" i="50"/>
  <c r="AR11" i="50"/>
  <c r="V11" i="50"/>
  <c r="BF11" i="50"/>
  <c r="X11" i="50"/>
  <c r="AN11" i="50"/>
  <c r="AQ11" i="50"/>
  <c r="Z11" i="50"/>
  <c r="Y11" i="50"/>
  <c r="AP11" i="50"/>
  <c r="X20" i="50"/>
  <c r="AP20" i="50"/>
  <c r="Y20" i="50"/>
  <c r="AQ20" i="50"/>
  <c r="AT20" i="50"/>
  <c r="Z20" i="50"/>
  <c r="AR20" i="50"/>
  <c r="AA20" i="50"/>
  <c r="AS20" i="50"/>
  <c r="AB20" i="50"/>
  <c r="AC20" i="50"/>
  <c r="AU20" i="50"/>
  <c r="AF20" i="50"/>
  <c r="AX20" i="50"/>
  <c r="R20" i="50"/>
  <c r="AJ20" i="50"/>
  <c r="BB20" i="50"/>
  <c r="T20" i="50"/>
  <c r="AL20" i="50"/>
  <c r="BD20" i="50"/>
  <c r="U20" i="50"/>
  <c r="AM20" i="50"/>
  <c r="BE20" i="50"/>
  <c r="V20" i="50"/>
  <c r="AN20" i="50"/>
  <c r="BF20" i="50"/>
  <c r="W20" i="50"/>
  <c r="AI20" i="50"/>
  <c r="AK20" i="50"/>
  <c r="AO20" i="50"/>
  <c r="AV20" i="50"/>
  <c r="AW20" i="50"/>
  <c r="AZ20" i="50"/>
  <c r="O20" i="50"/>
  <c r="P20" i="50"/>
  <c r="AG20" i="50"/>
  <c r="AH20" i="50"/>
  <c r="Q20" i="50"/>
  <c r="AD20" i="50"/>
  <c r="AE20" i="50"/>
  <c r="S20" i="50"/>
  <c r="AY20" i="50"/>
  <c r="BA20" i="50"/>
  <c r="BC20" i="50"/>
  <c r="BG20" i="50"/>
  <c r="X10" i="50"/>
  <c r="AP10" i="50"/>
  <c r="Y10" i="50"/>
  <c r="AQ10" i="50"/>
  <c r="AB10" i="50"/>
  <c r="Z10" i="50"/>
  <c r="AR10" i="50"/>
  <c r="AA10" i="50"/>
  <c r="AS10" i="50"/>
  <c r="AT10" i="50"/>
  <c r="AC10" i="50"/>
  <c r="AU10" i="50"/>
  <c r="AD10" i="50"/>
  <c r="AV10" i="50"/>
  <c r="AF10" i="50"/>
  <c r="AX10" i="50"/>
  <c r="R10" i="50"/>
  <c r="AJ10" i="50"/>
  <c r="BB10" i="50"/>
  <c r="S10" i="50"/>
  <c r="AK10" i="50"/>
  <c r="BC10" i="50"/>
  <c r="T10" i="50"/>
  <c r="AL10" i="50"/>
  <c r="BD10" i="50"/>
  <c r="AO10" i="50"/>
  <c r="U10" i="50"/>
  <c r="AM10" i="50"/>
  <c r="BE10" i="50"/>
  <c r="BG10" i="50"/>
  <c r="V10" i="50"/>
  <c r="AN10" i="50"/>
  <c r="BF10" i="50"/>
  <c r="W10" i="50"/>
  <c r="AE10" i="50"/>
  <c r="AG10" i="50"/>
  <c r="AH10" i="50"/>
  <c r="AI10" i="50"/>
  <c r="AW10" i="50"/>
  <c r="O10" i="50"/>
  <c r="BA10" i="50"/>
  <c r="AY10" i="50"/>
  <c r="AZ10" i="50"/>
  <c r="P10" i="50"/>
  <c r="Q10" i="50"/>
  <c r="P4" i="50"/>
  <c r="AH4" i="50"/>
  <c r="AZ4" i="50"/>
  <c r="Q4" i="50"/>
  <c r="AI4" i="50"/>
  <c r="BA4" i="50"/>
  <c r="AJ4" i="50"/>
  <c r="BB4" i="50"/>
  <c r="R4" i="50"/>
  <c r="S4" i="50"/>
  <c r="AK4" i="50"/>
  <c r="BC4" i="50"/>
  <c r="U4" i="50"/>
  <c r="AM4" i="50"/>
  <c r="BE4" i="50"/>
  <c r="X4" i="50"/>
  <c r="AP4" i="50"/>
  <c r="O4" i="50"/>
  <c r="AB4" i="50"/>
  <c r="AT4" i="50"/>
  <c r="AD4" i="50"/>
  <c r="AV4" i="50"/>
  <c r="AF4" i="50"/>
  <c r="AE4" i="50"/>
  <c r="AW4" i="50"/>
  <c r="AX4" i="50"/>
  <c r="AG4" i="50"/>
  <c r="AL4" i="50"/>
  <c r="AN4" i="50"/>
  <c r="AO4" i="50"/>
  <c r="AQ4" i="50"/>
  <c r="BD4" i="50"/>
  <c r="V4" i="50"/>
  <c r="Y4" i="50"/>
  <c r="AR4" i="50"/>
  <c r="T4" i="50"/>
  <c r="BF4" i="50"/>
  <c r="W4" i="50"/>
  <c r="AS4" i="50"/>
  <c r="AA4" i="50"/>
  <c r="AC4" i="50"/>
  <c r="Z4" i="50"/>
  <c r="AU4" i="50"/>
  <c r="BG4" i="50"/>
  <c r="AY4" i="50"/>
  <c r="O9" i="50"/>
  <c r="AG9" i="50"/>
  <c r="AY9" i="50"/>
  <c r="BC9" i="50"/>
  <c r="P9" i="50"/>
  <c r="AH9" i="50"/>
  <c r="AZ9" i="50"/>
  <c r="Q9" i="50"/>
  <c r="AI9" i="50"/>
  <c r="BA9" i="50"/>
  <c r="R9" i="50"/>
  <c r="AJ9" i="50"/>
  <c r="BB9" i="50"/>
  <c r="S9" i="50"/>
  <c r="AK9" i="50"/>
  <c r="T9" i="50"/>
  <c r="AL9" i="50"/>
  <c r="BD9" i="50"/>
  <c r="U9" i="50"/>
  <c r="AM9" i="50"/>
  <c r="BE9" i="50"/>
  <c r="W9" i="50"/>
  <c r="AO9" i="50"/>
  <c r="BG9" i="50"/>
  <c r="X9" i="50"/>
  <c r="AP9" i="50"/>
  <c r="AA9" i="50"/>
  <c r="AS9" i="50"/>
  <c r="AB9" i="50"/>
  <c r="AT9" i="50"/>
  <c r="AC9" i="50"/>
  <c r="AU9" i="50"/>
  <c r="AD9" i="50"/>
  <c r="AV9" i="50"/>
  <c r="AX9" i="50"/>
  <c r="AE9" i="50"/>
  <c r="AW9" i="50"/>
  <c r="AF9" i="50"/>
  <c r="Z9" i="50"/>
  <c r="V9" i="50"/>
  <c r="AN9" i="50"/>
  <c r="AQ9" i="50"/>
  <c r="AR9" i="50"/>
  <c r="BF9" i="50"/>
  <c r="Y9" i="50"/>
  <c r="X26" i="50"/>
  <c r="AP26" i="50"/>
  <c r="Y26" i="50"/>
  <c r="AQ26" i="50"/>
  <c r="AR26" i="50"/>
  <c r="Z26" i="50"/>
  <c r="AA26" i="50"/>
  <c r="AS26" i="50"/>
  <c r="AC26" i="50"/>
  <c r="AU26" i="50"/>
  <c r="AF26" i="50"/>
  <c r="AX26" i="50"/>
  <c r="R26" i="50"/>
  <c r="AJ26" i="50"/>
  <c r="BB26" i="50"/>
  <c r="T26" i="50"/>
  <c r="AL26" i="50"/>
  <c r="BD26" i="50"/>
  <c r="U26" i="50"/>
  <c r="AM26" i="50"/>
  <c r="BE26" i="50"/>
  <c r="AN26" i="50"/>
  <c r="V26" i="50"/>
  <c r="BF26" i="50"/>
  <c r="AI26" i="50"/>
  <c r="AK26" i="50"/>
  <c r="AO26" i="50"/>
  <c r="AT26" i="50"/>
  <c r="AV26" i="50"/>
  <c r="BA26" i="50"/>
  <c r="BC26" i="50"/>
  <c r="BG26" i="50"/>
  <c r="O26" i="50"/>
  <c r="AZ26" i="50"/>
  <c r="P26" i="50"/>
  <c r="W26" i="50"/>
  <c r="AD26" i="50"/>
  <c r="Q26" i="50"/>
  <c r="S26" i="50"/>
  <c r="AY26" i="50"/>
  <c r="AB26" i="50"/>
  <c r="AE26" i="50"/>
  <c r="AW26" i="50"/>
  <c r="AH26" i="50"/>
  <c r="AG26" i="50"/>
  <c r="X8" i="50"/>
  <c r="AP8" i="50"/>
  <c r="Y8" i="50"/>
  <c r="AQ8" i="50"/>
  <c r="Z8" i="50"/>
  <c r="AR8" i="50"/>
  <c r="AA8" i="50"/>
  <c r="AS8" i="50"/>
  <c r="AB8" i="50"/>
  <c r="AT8" i="50"/>
  <c r="AC8" i="50"/>
  <c r="AU8" i="50"/>
  <c r="AD8" i="50"/>
  <c r="AV8" i="50"/>
  <c r="AF8" i="50"/>
  <c r="AX8" i="50"/>
  <c r="O8" i="50"/>
  <c r="AG8" i="50"/>
  <c r="AY8" i="50"/>
  <c r="R8" i="50"/>
  <c r="AJ8" i="50"/>
  <c r="BB8" i="50"/>
  <c r="S8" i="50"/>
  <c r="AK8" i="50"/>
  <c r="BC8" i="50"/>
  <c r="T8" i="50"/>
  <c r="AL8" i="50"/>
  <c r="BD8" i="50"/>
  <c r="BG8" i="50"/>
  <c r="U8" i="50"/>
  <c r="AM8" i="50"/>
  <c r="BE8" i="50"/>
  <c r="AO8" i="50"/>
  <c r="V8" i="50"/>
  <c r="AN8" i="50"/>
  <c r="BF8" i="50"/>
  <c r="W8" i="50"/>
  <c r="P8" i="50"/>
  <c r="Q8" i="50"/>
  <c r="AE8" i="50"/>
  <c r="AH8" i="50"/>
  <c r="AI8" i="50"/>
  <c r="BA8" i="50"/>
  <c r="AW8" i="50"/>
  <c r="AZ8" i="50"/>
  <c r="O25" i="50"/>
  <c r="AG25" i="50"/>
  <c r="AY25" i="50"/>
  <c r="P25" i="50"/>
  <c r="AH25" i="50"/>
  <c r="AZ25" i="50"/>
  <c r="Q25" i="50"/>
  <c r="BA25" i="50"/>
  <c r="AI25" i="50"/>
  <c r="R25" i="50"/>
  <c r="AJ25" i="50"/>
  <c r="BB25" i="50"/>
  <c r="S25" i="50"/>
  <c r="T25" i="50"/>
  <c r="AL25" i="50"/>
  <c r="BD25" i="50"/>
  <c r="W25" i="50"/>
  <c r="AO25" i="50"/>
  <c r="BG25" i="50"/>
  <c r="AA25" i="50"/>
  <c r="AS25" i="50"/>
  <c r="AC25" i="50"/>
  <c r="AU25" i="50"/>
  <c r="AD25" i="50"/>
  <c r="AV25" i="50"/>
  <c r="AW25" i="50"/>
  <c r="AE25" i="50"/>
  <c r="AP25" i="50"/>
  <c r="AQ25" i="50"/>
  <c r="AR25" i="50"/>
  <c r="AT25" i="50"/>
  <c r="AX25" i="50"/>
  <c r="AM25" i="50"/>
  <c r="AN25" i="50"/>
  <c r="BC25" i="50"/>
  <c r="BE25" i="50"/>
  <c r="AB25" i="50"/>
  <c r="BF25" i="50"/>
  <c r="U25" i="50"/>
  <c r="X25" i="50"/>
  <c r="Z25" i="50"/>
  <c r="V25" i="50"/>
  <c r="AK25" i="50"/>
  <c r="Y25" i="50"/>
  <c r="AF25" i="50"/>
  <c r="O7" i="50"/>
  <c r="AG7" i="50"/>
  <c r="AY7" i="50"/>
  <c r="P7" i="50"/>
  <c r="AH7" i="50"/>
  <c r="AZ7" i="50"/>
  <c r="AK7" i="50"/>
  <c r="Q7" i="50"/>
  <c r="AI7" i="50"/>
  <c r="BA7" i="50"/>
  <c r="S7" i="50"/>
  <c r="R7" i="50"/>
  <c r="AJ7" i="50"/>
  <c r="BB7" i="50"/>
  <c r="BC7" i="50"/>
  <c r="T7" i="50"/>
  <c r="AL7" i="50"/>
  <c r="BD7" i="50"/>
  <c r="AM7" i="50"/>
  <c r="BE7" i="50"/>
  <c r="U7" i="50"/>
  <c r="W7" i="50"/>
  <c r="AO7" i="50"/>
  <c r="BG7" i="50"/>
  <c r="X7" i="50"/>
  <c r="AP7" i="50"/>
  <c r="AA7" i="50"/>
  <c r="AS7" i="50"/>
  <c r="AB7" i="50"/>
  <c r="AT7" i="50"/>
  <c r="AC7" i="50"/>
  <c r="AU7" i="50"/>
  <c r="AX7" i="50"/>
  <c r="AD7" i="50"/>
  <c r="AV7" i="50"/>
  <c r="AF7" i="50"/>
  <c r="AE7" i="50"/>
  <c r="AW7" i="50"/>
  <c r="Z7" i="50"/>
  <c r="V7" i="50"/>
  <c r="Y7" i="50"/>
  <c r="AQ7" i="50"/>
  <c r="BF7" i="50"/>
  <c r="AN7" i="50"/>
  <c r="AR7" i="50"/>
  <c r="X24" i="50"/>
  <c r="AP24" i="50"/>
  <c r="Y24" i="50"/>
  <c r="AQ24" i="50"/>
  <c r="Z24" i="50"/>
  <c r="AT24" i="50"/>
  <c r="AR24" i="50"/>
  <c r="AB24" i="50"/>
  <c r="AA24" i="50"/>
  <c r="AS24" i="50"/>
  <c r="AC24" i="50"/>
  <c r="AU24" i="50"/>
  <c r="AF24" i="50"/>
  <c r="AX24" i="50"/>
  <c r="R24" i="50"/>
  <c r="AJ24" i="50"/>
  <c r="BB24" i="50"/>
  <c r="T24" i="50"/>
  <c r="AL24" i="50"/>
  <c r="BD24" i="50"/>
  <c r="U24" i="50"/>
  <c r="AM24" i="50"/>
  <c r="BE24" i="50"/>
  <c r="V24" i="50"/>
  <c r="BF24" i="50"/>
  <c r="AN24" i="50"/>
  <c r="AO24" i="50"/>
  <c r="AV24" i="50"/>
  <c r="AW24" i="50"/>
  <c r="AY24" i="50"/>
  <c r="AZ24" i="50"/>
  <c r="W24" i="50"/>
  <c r="AD24" i="50"/>
  <c r="AE24" i="50"/>
  <c r="AI24" i="50"/>
  <c r="BG24" i="50"/>
  <c r="Q24" i="50"/>
  <c r="AG24" i="50"/>
  <c r="BA24" i="50"/>
  <c r="BC24" i="50"/>
  <c r="AH24" i="50"/>
  <c r="AK24" i="50"/>
  <c r="P24" i="50"/>
  <c r="O24" i="50"/>
  <c r="S24" i="50"/>
  <c r="X6" i="50"/>
  <c r="AP6" i="50"/>
  <c r="AB6" i="50"/>
  <c r="Y6" i="50"/>
  <c r="AQ6" i="50"/>
  <c r="Z6" i="50"/>
  <c r="AR6" i="50"/>
  <c r="AA6" i="50"/>
  <c r="AS6" i="50"/>
  <c r="AT6" i="50"/>
  <c r="AC6" i="50"/>
  <c r="AU6" i="50"/>
  <c r="AD6" i="50"/>
  <c r="AV6" i="50"/>
  <c r="AF6" i="50"/>
  <c r="AX6" i="50"/>
  <c r="O6" i="50"/>
  <c r="AG6" i="50"/>
  <c r="AY6" i="50"/>
  <c r="R6" i="50"/>
  <c r="AJ6" i="50"/>
  <c r="BB6" i="50"/>
  <c r="S6" i="50"/>
  <c r="AK6" i="50"/>
  <c r="BC6" i="50"/>
  <c r="T6" i="50"/>
  <c r="AL6" i="50"/>
  <c r="BD6" i="50"/>
  <c r="W6" i="50"/>
  <c r="AO6" i="50"/>
  <c r="U6" i="50"/>
  <c r="AM6" i="50"/>
  <c r="BE6" i="50"/>
  <c r="V6" i="50"/>
  <c r="AN6" i="50"/>
  <c r="BF6" i="50"/>
  <c r="BG6" i="50"/>
  <c r="P6" i="50"/>
  <c r="Q6" i="50"/>
  <c r="AE6" i="50"/>
  <c r="AI6" i="50"/>
  <c r="AH6" i="50"/>
  <c r="BA6" i="50"/>
  <c r="AW6" i="50"/>
  <c r="AZ6" i="50"/>
  <c r="O15" i="50"/>
  <c r="AG15" i="50"/>
  <c r="AY15" i="50"/>
  <c r="P15" i="50"/>
  <c r="AH15" i="50"/>
  <c r="AZ15" i="50"/>
  <c r="AK15" i="50"/>
  <c r="Q15" i="50"/>
  <c r="AI15" i="50"/>
  <c r="BA15" i="50"/>
  <c r="R15" i="50"/>
  <c r="AJ15" i="50"/>
  <c r="BB15" i="50"/>
  <c r="S15" i="50"/>
  <c r="BC15" i="50"/>
  <c r="T15" i="50"/>
  <c r="AL15" i="50"/>
  <c r="BD15" i="50"/>
  <c r="W15" i="50"/>
  <c r="AO15" i="50"/>
  <c r="BG15" i="50"/>
  <c r="AA15" i="50"/>
  <c r="AS15" i="50"/>
  <c r="AB15" i="50"/>
  <c r="AT15" i="50"/>
  <c r="AC15" i="50"/>
  <c r="AU15" i="50"/>
  <c r="AD15" i="50"/>
  <c r="AV15" i="50"/>
  <c r="AF15" i="50"/>
  <c r="AE15" i="50"/>
  <c r="AW15" i="50"/>
  <c r="AX15" i="50"/>
  <c r="AN15" i="50"/>
  <c r="AP15" i="50"/>
  <c r="AQ15" i="50"/>
  <c r="AR15" i="50"/>
  <c r="BE15" i="50"/>
  <c r="V15" i="50"/>
  <c r="BF15" i="50"/>
  <c r="U15" i="50"/>
  <c r="Z15" i="50"/>
  <c r="Y15" i="50"/>
  <c r="AM15" i="50"/>
  <c r="X15" i="50"/>
  <c r="O23" i="50"/>
  <c r="AG23" i="50"/>
  <c r="AY23" i="50"/>
  <c r="BC23" i="50"/>
  <c r="P23" i="50"/>
  <c r="AH23" i="50"/>
  <c r="AZ23" i="50"/>
  <c r="Q23" i="50"/>
  <c r="BA23" i="50"/>
  <c r="S23" i="50"/>
  <c r="AI23" i="50"/>
  <c r="R23" i="50"/>
  <c r="AJ23" i="50"/>
  <c r="BB23" i="50"/>
  <c r="AK23" i="50"/>
  <c r="T23" i="50"/>
  <c r="AL23" i="50"/>
  <c r="BD23" i="50"/>
  <c r="W23" i="50"/>
  <c r="AO23" i="50"/>
  <c r="BG23" i="50"/>
  <c r="AA23" i="50"/>
  <c r="AS23" i="50"/>
  <c r="AC23" i="50"/>
  <c r="AU23" i="50"/>
  <c r="AD23" i="50"/>
  <c r="AV23" i="50"/>
  <c r="AE23" i="50"/>
  <c r="AW23" i="50"/>
  <c r="AP23" i="50"/>
  <c r="AQ23" i="50"/>
  <c r="AR23" i="50"/>
  <c r="AT23" i="50"/>
  <c r="AX23" i="50"/>
  <c r="Y23" i="50"/>
  <c r="Z23" i="50"/>
  <c r="BE23" i="50"/>
  <c r="U23" i="50"/>
  <c r="X23" i="50"/>
  <c r="AM23" i="50"/>
  <c r="V23" i="50"/>
  <c r="AF23" i="50"/>
  <c r="AN23" i="50"/>
  <c r="AB23" i="50"/>
  <c r="BF23" i="50"/>
  <c r="O5" i="50"/>
  <c r="AG5" i="50"/>
  <c r="AY5" i="50"/>
  <c r="P5" i="50"/>
  <c r="AH5" i="50"/>
  <c r="AZ5" i="50"/>
  <c r="Q5" i="50"/>
  <c r="AI5" i="50"/>
  <c r="BA5" i="50"/>
  <c r="R5" i="50"/>
  <c r="AJ5" i="50"/>
  <c r="BB5" i="50"/>
  <c r="S5" i="50"/>
  <c r="AK5" i="50"/>
  <c r="BC5" i="50"/>
  <c r="T5" i="50"/>
  <c r="AL5" i="50"/>
  <c r="BD5" i="50"/>
  <c r="U5" i="50"/>
  <c r="AM5" i="50"/>
  <c r="BE5" i="50"/>
  <c r="V5" i="50"/>
  <c r="W5" i="50"/>
  <c r="AO5" i="50"/>
  <c r="BG5" i="50"/>
  <c r="X5" i="50"/>
  <c r="AP5" i="50"/>
  <c r="Y5" i="50"/>
  <c r="AQ5" i="50"/>
  <c r="Z5" i="50"/>
  <c r="AA5" i="50"/>
  <c r="AS5" i="50"/>
  <c r="AT5" i="50"/>
  <c r="AB5" i="50"/>
  <c r="AC5" i="50"/>
  <c r="AU5" i="50"/>
  <c r="AD5" i="50"/>
  <c r="AV5" i="50"/>
  <c r="AX5" i="50"/>
  <c r="AE5" i="50"/>
  <c r="AW5" i="50"/>
  <c r="AF5" i="50"/>
  <c r="AN5" i="50"/>
  <c r="AR5" i="50"/>
  <c r="BF5" i="50"/>
  <c r="X22" i="50"/>
  <c r="AP22" i="50"/>
  <c r="AB22" i="50"/>
  <c r="Y22" i="50"/>
  <c r="AQ22" i="50"/>
  <c r="Z22" i="50"/>
  <c r="AR22" i="50"/>
  <c r="AT22" i="50"/>
  <c r="AA22" i="50"/>
  <c r="AS22" i="50"/>
  <c r="AC22" i="50"/>
  <c r="AU22" i="50"/>
  <c r="AF22" i="50"/>
  <c r="AX22" i="50"/>
  <c r="R22" i="50"/>
  <c r="AJ22" i="50"/>
  <c r="BB22" i="50"/>
  <c r="T22" i="50"/>
  <c r="AL22" i="50"/>
  <c r="BD22" i="50"/>
  <c r="U22" i="50"/>
  <c r="AM22" i="50"/>
  <c r="BE22" i="50"/>
  <c r="V22" i="50"/>
  <c r="AN22" i="50"/>
  <c r="BF22" i="50"/>
  <c r="AK22" i="50"/>
  <c r="AO22" i="50"/>
  <c r="AV22" i="50"/>
  <c r="AW22" i="50"/>
  <c r="AY22" i="50"/>
  <c r="BA22" i="50"/>
  <c r="BC22" i="50"/>
  <c r="BG22" i="50"/>
  <c r="O22" i="50"/>
  <c r="P22" i="50"/>
  <c r="W22" i="50"/>
  <c r="AH22" i="50"/>
  <c r="AI22" i="50"/>
  <c r="S22" i="50"/>
  <c r="AG22" i="50"/>
  <c r="AZ22" i="50"/>
  <c r="AD22" i="50"/>
  <c r="Q22" i="50"/>
  <c r="AE22" i="50"/>
  <c r="O21" i="50"/>
  <c r="AG21" i="50"/>
  <c r="AY21" i="50"/>
  <c r="P21" i="50"/>
  <c r="AH21" i="50"/>
  <c r="AZ21" i="50"/>
  <c r="Q21" i="50"/>
  <c r="AK21" i="50"/>
  <c r="AI21" i="50"/>
  <c r="BA21" i="50"/>
  <c r="S21" i="50"/>
  <c r="R21" i="50"/>
  <c r="AJ21" i="50"/>
  <c r="BB21" i="50"/>
  <c r="BC21" i="50"/>
  <c r="T21" i="50"/>
  <c r="AL21" i="50"/>
  <c r="BD21" i="50"/>
  <c r="W21" i="50"/>
  <c r="AO21" i="50"/>
  <c r="BG21" i="50"/>
  <c r="AA21" i="50"/>
  <c r="AS21" i="50"/>
  <c r="AC21" i="50"/>
  <c r="AU21" i="50"/>
  <c r="AD21" i="50"/>
  <c r="AV21" i="50"/>
  <c r="AE21" i="50"/>
  <c r="AW21" i="50"/>
  <c r="AN21" i="50"/>
  <c r="AP21" i="50"/>
  <c r="AQ21" i="50"/>
  <c r="AR21" i="50"/>
  <c r="AT21" i="50"/>
  <c r="Z21" i="50"/>
  <c r="AB21" i="50"/>
  <c r="AF21" i="50"/>
  <c r="BF21" i="50"/>
  <c r="U21" i="50"/>
  <c r="AM21" i="50"/>
  <c r="AX21" i="50"/>
  <c r="BE21" i="50"/>
  <c r="X21" i="50"/>
  <c r="Y21" i="50"/>
  <c r="V21" i="50"/>
  <c r="F127" i="1"/>
  <c r="T127" i="1" s="1"/>
  <c r="F107" i="1"/>
  <c r="T107" i="1" s="1"/>
  <c r="F92" i="1"/>
  <c r="T92" i="1" s="1"/>
  <c r="F71" i="1"/>
  <c r="T71" i="1" s="1"/>
  <c r="F55" i="1"/>
  <c r="T55" i="1" s="1"/>
  <c r="F37" i="1"/>
  <c r="T37" i="1" s="1"/>
  <c r="F19" i="1"/>
  <c r="T19" i="1" s="1"/>
  <c r="F109" i="1"/>
  <c r="T109" i="1" s="1"/>
  <c r="F91" i="1"/>
  <c r="T91" i="1" s="1"/>
  <c r="F54" i="1"/>
  <c r="T54" i="1" s="1"/>
  <c r="F18" i="1"/>
  <c r="T18" i="1" s="1"/>
  <c r="F89" i="1"/>
  <c r="T89" i="1" s="1"/>
  <c r="F17" i="1"/>
  <c r="T17" i="1" s="1"/>
  <c r="F87" i="1"/>
  <c r="T87" i="1" s="1"/>
  <c r="F80" i="1"/>
  <c r="T80" i="1" s="1"/>
  <c r="F77" i="1"/>
  <c r="T77" i="1" s="1"/>
  <c r="F88" i="1"/>
  <c r="T88" i="1" s="1"/>
  <c r="F16" i="1"/>
  <c r="T16" i="1" s="1"/>
  <c r="F9" i="1"/>
  <c r="T9" i="1" s="1"/>
  <c r="F8" i="1"/>
  <c r="T8" i="1" s="1"/>
  <c r="F121" i="1"/>
  <c r="T121" i="1" s="1"/>
  <c r="F31" i="1"/>
  <c r="T31" i="1" s="1"/>
  <c r="F13" i="1"/>
  <c r="T13" i="1" s="1"/>
  <c r="F21" i="1"/>
  <c r="T21" i="1" s="1"/>
  <c r="F67" i="1"/>
  <c r="T67" i="1" s="1"/>
  <c r="F48" i="1"/>
  <c r="T48" i="1" s="1"/>
  <c r="F30" i="1"/>
  <c r="T30" i="1" s="1"/>
  <c r="F12" i="1"/>
  <c r="T12" i="1" s="1"/>
  <c r="F128" i="1"/>
  <c r="T128" i="1" s="1"/>
  <c r="F112" i="1"/>
  <c r="T112" i="1" s="1"/>
  <c r="F90" i="1"/>
  <c r="T90" i="1" s="1"/>
  <c r="F75" i="1"/>
  <c r="T75" i="1" s="1"/>
  <c r="F56" i="1"/>
  <c r="T56" i="1" s="1"/>
  <c r="F38" i="1"/>
  <c r="T38" i="1" s="1"/>
  <c r="F20" i="1"/>
  <c r="T20" i="1" s="1"/>
  <c r="F85" i="1"/>
  <c r="T85" i="1" s="1"/>
  <c r="AB120" i="1"/>
  <c r="AB117" i="1"/>
  <c r="AB103" i="1"/>
  <c r="AB64" i="1"/>
  <c r="AB45" i="1"/>
  <c r="AB27" i="1"/>
  <c r="F65" i="1"/>
  <c r="T65" i="1" s="1"/>
  <c r="AB44" i="1"/>
  <c r="AB60" i="1"/>
  <c r="F96" i="1"/>
  <c r="T96" i="1" s="1"/>
  <c r="F129" i="1"/>
  <c r="T129" i="1" s="1"/>
  <c r="F111" i="1"/>
  <c r="T111" i="1" s="1"/>
  <c r="F74" i="1"/>
  <c r="T74" i="1" s="1"/>
  <c r="F39" i="1"/>
  <c r="T39" i="1" s="1"/>
  <c r="F3" i="1"/>
  <c r="T3" i="1" s="1"/>
  <c r="F98" i="1"/>
  <c r="T98" i="1" s="1"/>
  <c r="F49" i="1"/>
  <c r="T49" i="1" s="1"/>
  <c r="AB129" i="1"/>
  <c r="AB111" i="1"/>
  <c r="AB74" i="1"/>
  <c r="AB39" i="1"/>
  <c r="AB3" i="1"/>
  <c r="F43" i="1"/>
  <c r="T43" i="1" s="1"/>
  <c r="AB121" i="1"/>
  <c r="AB31" i="1"/>
  <c r="AB13" i="1"/>
  <c r="AB84" i="1"/>
  <c r="AB30" i="1"/>
  <c r="AB97" i="1"/>
  <c r="AB114" i="1"/>
  <c r="AB24" i="1"/>
  <c r="F113" i="1"/>
  <c r="T113" i="1" s="1"/>
  <c r="F41" i="1"/>
  <c r="T41" i="1" s="1"/>
  <c r="F63" i="1"/>
  <c r="T63" i="1" s="1"/>
  <c r="F124" i="1"/>
  <c r="T124" i="1" s="1"/>
  <c r="F26" i="1"/>
  <c r="T26" i="1" s="1"/>
  <c r="F119" i="1"/>
  <c r="T119" i="1" s="1"/>
  <c r="F94" i="1"/>
  <c r="T94" i="1" s="1"/>
  <c r="F79" i="1"/>
  <c r="T79" i="1" s="1"/>
  <c r="F66" i="1"/>
  <c r="T66" i="1" s="1"/>
  <c r="F47" i="1"/>
  <c r="T47" i="1" s="1"/>
  <c r="F29" i="1"/>
  <c r="T29" i="1" s="1"/>
  <c r="AB116" i="1"/>
  <c r="AB93" i="1"/>
  <c r="AB42" i="1"/>
  <c r="F59" i="1"/>
  <c r="T59" i="1" s="1"/>
  <c r="AB113" i="1"/>
  <c r="AB96" i="1"/>
  <c r="AB22" i="1"/>
  <c r="F57" i="1"/>
  <c r="T57" i="1" s="1"/>
  <c r="F126" i="1"/>
  <c r="T126" i="1" s="1"/>
  <c r="F73" i="1"/>
  <c r="T73" i="1" s="1"/>
  <c r="F36" i="1"/>
  <c r="T36" i="1" s="1"/>
  <c r="F106" i="1"/>
  <c r="T106" i="1" s="1"/>
  <c r="F25" i="1"/>
  <c r="T25" i="1" s="1"/>
  <c r="F118" i="1"/>
  <c r="T118" i="1" s="1"/>
  <c r="F101" i="1"/>
  <c r="T101" i="1" s="1"/>
  <c r="F78" i="1"/>
  <c r="T78" i="1" s="1"/>
  <c r="F62" i="1"/>
  <c r="T62" i="1" s="1"/>
  <c r="F46" i="1"/>
  <c r="T46" i="1" s="1"/>
  <c r="F28" i="1"/>
  <c r="T28" i="1" s="1"/>
  <c r="F10" i="1"/>
  <c r="T10" i="1" s="1"/>
  <c r="AB126" i="1"/>
  <c r="AB73" i="1"/>
  <c r="AB36" i="1"/>
  <c r="AB48" i="1"/>
  <c r="AB7" i="1"/>
  <c r="F99" i="1"/>
  <c r="T99" i="1" s="1"/>
  <c r="F76" i="1"/>
  <c r="T76" i="1" s="1"/>
  <c r="F102" i="1"/>
  <c r="T102" i="1" s="1"/>
  <c r="F125" i="1"/>
  <c r="T125" i="1" s="1"/>
  <c r="F108" i="1"/>
  <c r="T108" i="1" s="1"/>
  <c r="F72" i="1"/>
  <c r="T72" i="1" s="1"/>
  <c r="F53" i="1"/>
  <c r="T53" i="1" s="1"/>
  <c r="F35" i="1"/>
  <c r="T35" i="1" s="1"/>
  <c r="F95" i="1"/>
  <c r="T95" i="1" s="1"/>
  <c r="AB125" i="1"/>
  <c r="AB108" i="1"/>
  <c r="AB72" i="1"/>
  <c r="AB53" i="1"/>
  <c r="AB35" i="1"/>
  <c r="AB16" i="1"/>
  <c r="AB12" i="1"/>
  <c r="AB81" i="1"/>
  <c r="AB83" i="1"/>
  <c r="F23" i="1"/>
  <c r="T23" i="1" s="1"/>
  <c r="AB41" i="1"/>
  <c r="F58" i="1"/>
  <c r="T58" i="1" s="1"/>
  <c r="AB76" i="1"/>
  <c r="F34" i="1"/>
  <c r="T34" i="1" s="1"/>
  <c r="AB88" i="1"/>
  <c r="AB34" i="1"/>
  <c r="F51" i="1"/>
  <c r="T51" i="1" s="1"/>
  <c r="AB67" i="1"/>
  <c r="AB115" i="1"/>
  <c r="AB61" i="1"/>
  <c r="AB100" i="1"/>
  <c r="AB6" i="1"/>
  <c r="F82" i="1"/>
  <c r="T82" i="1" s="1"/>
  <c r="F5" i="1"/>
  <c r="T5" i="1" s="1"/>
  <c r="AB99" i="1"/>
  <c r="AB23" i="1"/>
  <c r="F110" i="1"/>
  <c r="T110" i="1" s="1"/>
  <c r="F40" i="1"/>
  <c r="T40" i="1" s="1"/>
  <c r="F4" i="1"/>
  <c r="T4" i="1" s="1"/>
  <c r="AB110" i="1"/>
  <c r="F105" i="1"/>
  <c r="T105" i="1" s="1"/>
  <c r="F68" i="1"/>
  <c r="T68" i="1" s="1"/>
  <c r="F52" i="1"/>
  <c r="T52" i="1" s="1"/>
  <c r="AB105" i="1"/>
  <c r="AB68" i="1"/>
  <c r="AB52" i="1"/>
  <c r="F123" i="1"/>
  <c r="T123" i="1" s="1"/>
  <c r="F70" i="1"/>
  <c r="T70" i="1" s="1"/>
  <c r="F33" i="1"/>
  <c r="T33" i="1" s="1"/>
  <c r="F15" i="1"/>
  <c r="T15" i="1" s="1"/>
  <c r="AB123" i="1"/>
  <c r="AB70" i="1"/>
  <c r="AB51" i="1"/>
  <c r="AB33" i="1"/>
  <c r="F122" i="1"/>
  <c r="T122" i="1" s="1"/>
  <c r="F104" i="1"/>
  <c r="T104" i="1" s="1"/>
  <c r="F86" i="1"/>
  <c r="T86" i="1" s="1"/>
  <c r="F50" i="1"/>
  <c r="T50" i="1" s="1"/>
  <c r="F32" i="1"/>
  <c r="T32" i="1" s="1"/>
  <c r="F14" i="1"/>
  <c r="T14" i="1" s="1"/>
  <c r="AB122" i="1"/>
  <c r="AB104" i="1"/>
  <c r="AB86" i="1"/>
  <c r="AB50" i="1"/>
  <c r="AB32" i="1"/>
  <c r="AB14" i="1"/>
  <c r="F11" i="1"/>
  <c r="T11" i="1" s="1"/>
  <c r="B131" i="1"/>
  <c r="E131" i="1"/>
  <c r="F131" i="1" s="1"/>
  <c r="T131" i="1" s="1"/>
  <c r="P131" i="1"/>
  <c r="S131" i="1" a="1"/>
  <c r="S131" i="1" s="1"/>
  <c r="W131" i="1"/>
  <c r="X131" i="1"/>
  <c r="Q131" i="1" a="1"/>
  <c r="Q131" i="1" s="1"/>
  <c r="Z131" i="1"/>
  <c r="AA131" i="1"/>
  <c r="AC131" i="1"/>
  <c r="AD131" i="1"/>
  <c r="AE131" i="1"/>
  <c r="B130" i="1"/>
  <c r="E130" i="1"/>
  <c r="F130" i="1" s="1"/>
  <c r="T130" i="1" s="1"/>
  <c r="P130" i="1"/>
  <c r="S130" i="1" a="1"/>
  <c r="S130" i="1" s="1"/>
  <c r="W130" i="1"/>
  <c r="X130" i="1"/>
  <c r="Q130" i="1" a="1"/>
  <c r="Q130" i="1" s="1"/>
  <c r="Z130" i="1"/>
  <c r="AA130" i="1"/>
  <c r="AC130" i="1"/>
  <c r="AD130" i="1"/>
  <c r="AE130" i="1"/>
  <c r="Y128" i="1"/>
  <c r="Q128" i="1" s="1" a="1"/>
  <c r="Q128" i="1" s="1"/>
  <c r="Y129" i="1"/>
  <c r="Q129" i="1" s="1" a="1"/>
  <c r="Q129" i="1" s="1"/>
  <c r="X128" i="1"/>
  <c r="X129" i="1"/>
  <c r="B129" i="1"/>
  <c r="P129" i="1"/>
  <c r="S129" i="1" a="1"/>
  <c r="S129" i="1" s="1"/>
  <c r="W129" i="1"/>
  <c r="Z129" i="1"/>
  <c r="AA129" i="1"/>
  <c r="AC129" i="1"/>
  <c r="AD129" i="1"/>
  <c r="AE129" i="1"/>
  <c r="B128" i="1"/>
  <c r="P128" i="1"/>
  <c r="S128" i="1" a="1"/>
  <c r="S128" i="1" s="1"/>
  <c r="W128" i="1"/>
  <c r="Z128" i="1"/>
  <c r="AA128" i="1"/>
  <c r="AC128" i="1"/>
  <c r="AD128" i="1"/>
  <c r="AE128" i="1"/>
  <c r="Q3" i="31" l="1"/>
  <c r="J3" i="31"/>
  <c r="P2" i="50"/>
  <c r="AT2" i="50"/>
  <c r="AH2" i="50"/>
  <c r="AR2" i="50"/>
  <c r="AP2" i="50"/>
  <c r="Y2" i="50"/>
  <c r="X2" i="50"/>
  <c r="V2" i="50"/>
  <c r="BE2" i="50"/>
  <c r="BD2" i="50"/>
  <c r="AM2" i="50"/>
  <c r="AQ2" i="50"/>
  <c r="U2" i="50"/>
  <c r="AO2" i="50"/>
  <c r="BC2" i="50"/>
  <c r="BF2" i="50"/>
  <c r="AN2" i="50"/>
  <c r="AK2" i="50"/>
  <c r="AB2" i="50"/>
  <c r="AL2" i="50"/>
  <c r="S2" i="50"/>
  <c r="AY2" i="50"/>
  <c r="AG2" i="50"/>
  <c r="R2" i="50"/>
  <c r="BG2" i="50"/>
  <c r="AX2" i="50"/>
  <c r="BB2" i="50"/>
  <c r="AU2" i="50"/>
  <c r="AW2" i="50"/>
  <c r="AJ2" i="50"/>
  <c r="Z2" i="50"/>
  <c r="AE2" i="50"/>
  <c r="BA2" i="50"/>
  <c r="W2" i="50"/>
  <c r="T2" i="50"/>
  <c r="AC2" i="50"/>
  <c r="AF2" i="50"/>
  <c r="AI2" i="50"/>
  <c r="AA2" i="50"/>
  <c r="AV2" i="50"/>
  <c r="Q2" i="50"/>
  <c r="N4" i="50"/>
  <c r="O2" i="50"/>
  <c r="AS2" i="50"/>
  <c r="AD2" i="50"/>
  <c r="AZ2" i="50"/>
  <c r="N18" i="50"/>
  <c r="N15" i="50"/>
  <c r="N8" i="50"/>
  <c r="N6" i="50"/>
  <c r="N16" i="50"/>
  <c r="N26" i="50"/>
  <c r="N9" i="50"/>
  <c r="N7" i="50"/>
  <c r="N22" i="50"/>
  <c r="N24" i="50"/>
  <c r="N10" i="50"/>
  <c r="N17" i="50"/>
  <c r="N5" i="50"/>
  <c r="N11" i="50"/>
  <c r="N25" i="50"/>
  <c r="N13" i="50"/>
  <c r="N21" i="50"/>
  <c r="N12" i="50"/>
  <c r="N19" i="50"/>
  <c r="N20" i="50"/>
  <c r="N23" i="50"/>
  <c r="N14" i="50"/>
  <c r="R131" i="1" a="1"/>
  <c r="R131" i="1" s="1"/>
  <c r="R130" i="1" a="1"/>
  <c r="R130" i="1" s="1"/>
  <c r="R129" i="1" a="1"/>
  <c r="R129" i="1" s="1"/>
  <c r="R128" i="1" a="1"/>
  <c r="R128" i="1" s="1"/>
  <c r="Y123" i="1"/>
  <c r="F11" i="49" s="1"/>
  <c r="D11" i="49" s="1"/>
  <c r="Y124" i="1"/>
  <c r="Y125" i="1"/>
  <c r="Y126" i="1"/>
  <c r="F9" i="49" s="1"/>
  <c r="D9" i="49" s="1"/>
  <c r="Y127" i="1"/>
  <c r="X123" i="1" l="1"/>
  <c r="X124" i="1"/>
  <c r="X125" i="1"/>
  <c r="X126" i="1"/>
  <c r="X127" i="1"/>
  <c r="B123" i="1"/>
  <c r="B124" i="1"/>
  <c r="B125" i="1"/>
  <c r="B126" i="1"/>
  <c r="B127" i="1"/>
  <c r="P123" i="1"/>
  <c r="P124" i="1"/>
  <c r="P125" i="1"/>
  <c r="P126" i="1"/>
  <c r="P127" i="1"/>
  <c r="S123" i="1" a="1"/>
  <c r="S123" i="1" s="1"/>
  <c r="S124" i="1" a="1"/>
  <c r="S124" i="1" s="1"/>
  <c r="S125" i="1" a="1"/>
  <c r="S125" i="1" s="1"/>
  <c r="S126" i="1" a="1"/>
  <c r="S126" i="1" s="1"/>
  <c r="S127" i="1" a="1"/>
  <c r="S127" i="1" s="1"/>
  <c r="W123" i="1"/>
  <c r="W124" i="1"/>
  <c r="W125" i="1"/>
  <c r="W126" i="1"/>
  <c r="W127" i="1"/>
  <c r="R123" i="1" a="1"/>
  <c r="R123" i="1" s="1"/>
  <c r="R124" i="1" a="1"/>
  <c r="R124" i="1" s="1"/>
  <c r="Q125" i="1" a="1"/>
  <c r="Q125" i="1" s="1"/>
  <c r="Q126" i="1" a="1"/>
  <c r="Q126" i="1" s="1"/>
  <c r="Q127" i="1" a="1"/>
  <c r="Q127" i="1" s="1"/>
  <c r="Z123" i="1"/>
  <c r="Z124" i="1"/>
  <c r="Z125" i="1"/>
  <c r="Z126" i="1"/>
  <c r="Z127" i="1"/>
  <c r="AA123" i="1"/>
  <c r="AA124" i="1"/>
  <c r="AA125" i="1"/>
  <c r="AA126" i="1"/>
  <c r="AA127" i="1"/>
  <c r="AC123" i="1"/>
  <c r="AC124" i="1"/>
  <c r="AC125" i="1"/>
  <c r="AC126" i="1"/>
  <c r="AC127" i="1"/>
  <c r="AD123" i="1"/>
  <c r="AD124" i="1"/>
  <c r="AD125" i="1"/>
  <c r="AD126" i="1"/>
  <c r="AD127" i="1"/>
  <c r="AE123" i="1"/>
  <c r="AE124" i="1"/>
  <c r="AE125" i="1"/>
  <c r="AE126" i="1"/>
  <c r="AE127" i="1"/>
  <c r="Y117" i="1"/>
  <c r="Y118" i="1"/>
  <c r="F26" i="49" s="1"/>
  <c r="D26" i="49" s="1"/>
  <c r="Y119" i="1"/>
  <c r="Y120" i="1"/>
  <c r="F13" i="49" s="1"/>
  <c r="D13" i="49" s="1"/>
  <c r="Y121" i="1"/>
  <c r="Y122" i="1"/>
  <c r="S120" i="1" a="1"/>
  <c r="S120" i="1" s="1"/>
  <c r="S121" i="1" a="1"/>
  <c r="S121" i="1" s="1"/>
  <c r="X122" i="1"/>
  <c r="R126" i="1" l="1" a="1"/>
  <c r="R126" i="1" s="1"/>
  <c r="Q124" i="1" a="1"/>
  <c r="Q124" i="1" s="1"/>
  <c r="R125" i="1" a="1"/>
  <c r="R125" i="1" s="1"/>
  <c r="R127" i="1" a="1"/>
  <c r="R127" i="1" s="1"/>
  <c r="Q123" i="1" a="1"/>
  <c r="Q123" i="1" s="1"/>
  <c r="X118" i="1"/>
  <c r="B119" i="1"/>
  <c r="B120" i="1"/>
  <c r="B121" i="1"/>
  <c r="B122" i="1"/>
  <c r="P119" i="1"/>
  <c r="P120" i="1"/>
  <c r="P121" i="1"/>
  <c r="P122" i="1"/>
  <c r="R120" i="1" a="1"/>
  <c r="R120" i="1" s="1"/>
  <c r="R122" i="1" a="1"/>
  <c r="R122" i="1" s="1"/>
  <c r="S122" i="1" a="1"/>
  <c r="S122" i="1" s="1"/>
  <c r="W119" i="1"/>
  <c r="W120" i="1"/>
  <c r="W121" i="1"/>
  <c r="W122" i="1"/>
  <c r="X119" i="1"/>
  <c r="X120" i="1"/>
  <c r="X121" i="1"/>
  <c r="Q119" i="1" a="1"/>
  <c r="Q119" i="1" s="1"/>
  <c r="Q120" i="1" a="1"/>
  <c r="Q120" i="1" s="1"/>
  <c r="R121" i="1" a="1"/>
  <c r="R121" i="1" s="1"/>
  <c r="Q122" i="1" a="1"/>
  <c r="Q122" i="1" s="1"/>
  <c r="Z119" i="1"/>
  <c r="Z120" i="1"/>
  <c r="Z121" i="1"/>
  <c r="Z122" i="1"/>
  <c r="AA119" i="1"/>
  <c r="AA120" i="1"/>
  <c r="AA121" i="1"/>
  <c r="AA122" i="1"/>
  <c r="AC119" i="1"/>
  <c r="AC120" i="1"/>
  <c r="AC121" i="1"/>
  <c r="AC122" i="1"/>
  <c r="AD119" i="1"/>
  <c r="AD120" i="1"/>
  <c r="AD121" i="1"/>
  <c r="AD122" i="1"/>
  <c r="AE119" i="1"/>
  <c r="AE120" i="1"/>
  <c r="AE121" i="1"/>
  <c r="AE122" i="1"/>
  <c r="X117" i="1"/>
  <c r="B117" i="1"/>
  <c r="B118" i="1"/>
  <c r="P117" i="1"/>
  <c r="P118" i="1"/>
  <c r="S117" i="1" a="1"/>
  <c r="S117" i="1" s="1"/>
  <c r="S118" i="1" a="1"/>
  <c r="S118" i="1" s="1"/>
  <c r="W117" i="1"/>
  <c r="W118" i="1"/>
  <c r="Q117" i="1" a="1"/>
  <c r="Q117" i="1" s="1"/>
  <c r="Q118" i="1" a="1"/>
  <c r="Q118" i="1" s="1"/>
  <c r="Z117" i="1"/>
  <c r="Z118" i="1"/>
  <c r="AA117" i="1"/>
  <c r="AA118" i="1"/>
  <c r="AC117" i="1"/>
  <c r="AC118" i="1"/>
  <c r="AD117" i="1"/>
  <c r="AD118" i="1"/>
  <c r="AE117" i="1"/>
  <c r="AE118" i="1"/>
  <c r="Y116" i="1"/>
  <c r="Y115" i="1"/>
  <c r="F15" i="49" s="1"/>
  <c r="D15" i="49" s="1"/>
  <c r="Y114" i="1"/>
  <c r="Q121" i="1" l="1" a="1"/>
  <c r="Q121" i="1" s="1"/>
  <c r="X114" i="1"/>
  <c r="X115" i="1"/>
  <c r="X116" i="1"/>
  <c r="B114" i="1"/>
  <c r="B115" i="1"/>
  <c r="B116" i="1"/>
  <c r="P114" i="1"/>
  <c r="P115" i="1"/>
  <c r="P116" i="1"/>
  <c r="S114" i="1" a="1"/>
  <c r="S114" i="1" s="1"/>
  <c r="S116" i="1" a="1"/>
  <c r="S116" i="1" s="1"/>
  <c r="W114" i="1"/>
  <c r="W115" i="1"/>
  <c r="W116" i="1"/>
  <c r="Q114" i="1" a="1"/>
  <c r="Q114" i="1" s="1"/>
  <c r="Q115" i="1" a="1"/>
  <c r="Q115" i="1" s="1"/>
  <c r="Q116" i="1" a="1"/>
  <c r="Q116" i="1" s="1"/>
  <c r="Z114" i="1"/>
  <c r="Z115" i="1"/>
  <c r="Z116" i="1"/>
  <c r="AA114" i="1"/>
  <c r="AA115" i="1"/>
  <c r="AA116" i="1"/>
  <c r="AC114" i="1"/>
  <c r="AC115" i="1"/>
  <c r="AC116" i="1"/>
  <c r="AD114" i="1"/>
  <c r="AD115" i="1"/>
  <c r="AD116" i="1"/>
  <c r="AE114" i="1"/>
  <c r="AE115" i="1"/>
  <c r="AE116" i="1"/>
  <c r="R115" i="1" l="1" a="1"/>
  <c r="R115" i="1" s="1"/>
  <c r="R116" i="1" a="1"/>
  <c r="R116" i="1" s="1"/>
  <c r="R114" i="1" a="1"/>
  <c r="R114" i="1" s="1"/>
  <c r="AE2" i="1" l="1"/>
  <c r="AE3" i="1"/>
  <c r="AE4" i="1"/>
  <c r="AE5" i="1"/>
  <c r="AE6" i="1"/>
  <c r="AE7" i="1"/>
  <c r="AE8" i="1"/>
  <c r="AE9" i="1"/>
  <c r="AE10" i="1"/>
  <c r="AE11" i="1"/>
  <c r="AE12" i="1"/>
  <c r="AE13" i="1"/>
  <c r="AE14" i="1"/>
  <c r="AE15" i="1"/>
  <c r="AE16" i="1"/>
  <c r="AE17" i="1"/>
  <c r="AE18" i="1"/>
  <c r="AE19" i="1"/>
  <c r="AE20" i="1"/>
  <c r="AE21" i="1"/>
  <c r="AE22" i="1"/>
  <c r="AE23" i="1"/>
  <c r="AE24" i="1"/>
  <c r="AE25" i="1"/>
  <c r="AE26" i="1"/>
  <c r="AE27" i="1"/>
  <c r="AE28" i="1"/>
  <c r="AE29" i="1"/>
  <c r="AE30" i="1"/>
  <c r="AE31" i="1"/>
  <c r="AE32" i="1"/>
  <c r="AE33" i="1"/>
  <c r="AE34" i="1"/>
  <c r="AE35" i="1"/>
  <c r="AE36" i="1"/>
  <c r="AE37" i="1"/>
  <c r="AE38" i="1"/>
  <c r="AE39" i="1"/>
  <c r="AE40" i="1"/>
  <c r="AE41" i="1"/>
  <c r="AE42" i="1"/>
  <c r="AE43" i="1"/>
  <c r="AE44" i="1"/>
  <c r="AE45" i="1"/>
  <c r="AE46" i="1"/>
  <c r="AE47" i="1"/>
  <c r="AE48" i="1"/>
  <c r="AE49" i="1"/>
  <c r="AE50" i="1"/>
  <c r="AE51" i="1"/>
  <c r="AE52" i="1"/>
  <c r="AE53" i="1"/>
  <c r="AE54" i="1"/>
  <c r="AE55" i="1"/>
  <c r="AE56" i="1"/>
  <c r="AE57" i="1"/>
  <c r="AE58" i="1"/>
  <c r="AE59" i="1"/>
  <c r="AE60" i="1"/>
  <c r="AE61" i="1"/>
  <c r="AE63" i="1"/>
  <c r="AE64" i="1"/>
  <c r="AE62" i="1"/>
  <c r="AE66" i="1"/>
  <c r="AE67" i="1"/>
  <c r="AE65" i="1"/>
  <c r="AE69" i="1"/>
  <c r="AE70" i="1"/>
  <c r="AE68" i="1"/>
  <c r="AE72" i="1"/>
  <c r="AE73" i="1"/>
  <c r="AE71" i="1"/>
  <c r="AE75" i="1"/>
  <c r="AE74" i="1"/>
  <c r="AE76" i="1"/>
  <c r="AE82" i="1"/>
  <c r="AE83" i="1"/>
  <c r="AE77" i="1"/>
  <c r="AE81" i="1"/>
  <c r="AE80" i="1"/>
  <c r="AE78" i="1"/>
  <c r="AE79" i="1"/>
  <c r="AE84" i="1"/>
  <c r="AE85" i="1"/>
  <c r="AE86" i="1"/>
  <c r="AE87" i="1"/>
  <c r="AE88" i="1"/>
  <c r="AE89" i="1"/>
  <c r="AE91" i="1"/>
  <c r="AE92" i="1"/>
  <c r="AE90" i="1"/>
  <c r="AE102" i="1"/>
  <c r="AE96" i="1"/>
  <c r="AE99" i="1"/>
  <c r="AE100" i="1"/>
  <c r="AE93" i="1"/>
  <c r="AE97" i="1"/>
  <c r="AE103" i="1"/>
  <c r="AE101" i="1"/>
  <c r="AE94" i="1"/>
  <c r="AE95" i="1"/>
  <c r="AE98" i="1"/>
  <c r="AE104" i="1"/>
  <c r="AE106" i="1"/>
  <c r="AE105" i="1"/>
  <c r="AE108" i="1"/>
  <c r="AE109" i="1"/>
  <c r="AE107" i="1"/>
  <c r="AE112" i="1"/>
  <c r="AE111" i="1"/>
  <c r="AE110" i="1"/>
  <c r="AE113" i="1"/>
  <c r="B21" i="27"/>
  <c r="S113" i="1" a="1"/>
  <c r="S113" i="1" s="1"/>
  <c r="P7" i="1"/>
  <c r="P8" i="1"/>
  <c r="P9" i="1"/>
  <c r="P10" i="1"/>
  <c r="P11" i="1"/>
  <c r="P12" i="1"/>
  <c r="P13" i="1"/>
  <c r="P14" i="1"/>
  <c r="P15" i="1"/>
  <c r="P16" i="1"/>
  <c r="P17" i="1"/>
  <c r="P18" i="1"/>
  <c r="P19" i="1"/>
  <c r="P20" i="1"/>
  <c r="P21" i="1"/>
  <c r="P22" i="1"/>
  <c r="P23" i="1"/>
  <c r="P25" i="1"/>
  <c r="P26" i="1"/>
  <c r="P27" i="1"/>
  <c r="P28" i="1"/>
  <c r="P29" i="1"/>
  <c r="P30" i="1"/>
  <c r="P31" i="1"/>
  <c r="P32" i="1"/>
  <c r="P33" i="1"/>
  <c r="P34" i="1"/>
  <c r="P35" i="1"/>
  <c r="P36" i="1"/>
  <c r="P37" i="1"/>
  <c r="P38" i="1"/>
  <c r="P39" i="1"/>
  <c r="P40" i="1"/>
  <c r="P41" i="1"/>
  <c r="P42" i="1"/>
  <c r="P43" i="1"/>
  <c r="P44" i="1"/>
  <c r="P45" i="1"/>
  <c r="P46" i="1"/>
  <c r="P47" i="1"/>
  <c r="P48" i="1"/>
  <c r="P49" i="1"/>
  <c r="P50" i="1"/>
  <c r="P51" i="1"/>
  <c r="P52" i="1"/>
  <c r="P53" i="1"/>
  <c r="P54" i="1"/>
  <c r="P55" i="1"/>
  <c r="P56" i="1"/>
  <c r="P57" i="1"/>
  <c r="P58" i="1"/>
  <c r="P59" i="1"/>
  <c r="P60" i="1"/>
  <c r="P61" i="1"/>
  <c r="P63" i="1"/>
  <c r="P64" i="1"/>
  <c r="P62" i="1"/>
  <c r="P66" i="1"/>
  <c r="P67" i="1"/>
  <c r="P65" i="1"/>
  <c r="P69" i="1"/>
  <c r="P70" i="1"/>
  <c r="P68" i="1"/>
  <c r="P72" i="1"/>
  <c r="P73" i="1"/>
  <c r="P71" i="1"/>
  <c r="P75" i="1"/>
  <c r="P74" i="1"/>
  <c r="P76" i="1"/>
  <c r="P82" i="1"/>
  <c r="P83" i="1"/>
  <c r="P77" i="1"/>
  <c r="P81" i="1"/>
  <c r="P80" i="1"/>
  <c r="P78" i="1"/>
  <c r="P79" i="1"/>
  <c r="P84" i="1"/>
  <c r="P85" i="1"/>
  <c r="P86" i="1"/>
  <c r="P87" i="1"/>
  <c r="P88" i="1"/>
  <c r="P89" i="1"/>
  <c r="P91" i="1"/>
  <c r="P92" i="1"/>
  <c r="P90" i="1"/>
  <c r="P102" i="1"/>
  <c r="P96" i="1"/>
  <c r="P99" i="1"/>
  <c r="P100" i="1"/>
  <c r="P93" i="1"/>
  <c r="P97" i="1"/>
  <c r="P103" i="1"/>
  <c r="P101" i="1"/>
  <c r="P94" i="1"/>
  <c r="P95" i="1"/>
  <c r="P98" i="1"/>
  <c r="P104" i="1"/>
  <c r="P106" i="1"/>
  <c r="P105" i="1"/>
  <c r="P108" i="1"/>
  <c r="P109" i="1"/>
  <c r="P107" i="1"/>
  <c r="P112" i="1"/>
  <c r="P111" i="1"/>
  <c r="P110" i="1"/>
  <c r="P113" i="1"/>
  <c r="Y113" i="1"/>
  <c r="R113" i="1" s="1" a="1"/>
  <c r="R113" i="1" s="1"/>
  <c r="X113" i="1"/>
  <c r="B113" i="1"/>
  <c r="W113" i="1"/>
  <c r="Z113" i="1"/>
  <c r="AA113" i="1"/>
  <c r="AC113" i="1"/>
  <c r="AD113" i="1"/>
  <c r="Q113" i="1" l="1" a="1"/>
  <c r="Q113" i="1" s="1"/>
  <c r="Y112" i="1"/>
  <c r="Z112" i="1"/>
  <c r="Y111" i="1"/>
  <c r="Z111" i="1"/>
  <c r="Y110" i="1"/>
  <c r="R110" i="1" s="1" a="1"/>
  <c r="R110" i="1" s="1"/>
  <c r="Z110" i="1"/>
  <c r="X112" i="1"/>
  <c r="X111" i="1"/>
  <c r="X110" i="1"/>
  <c r="B110" i="1"/>
  <c r="S110" i="1" a="1"/>
  <c r="S110" i="1" s="1"/>
  <c r="W110" i="1"/>
  <c r="AA110" i="1"/>
  <c r="AC110" i="1"/>
  <c r="AD110" i="1"/>
  <c r="B111" i="1"/>
  <c r="S111" i="1" a="1"/>
  <c r="S111" i="1" s="1"/>
  <c r="W111" i="1"/>
  <c r="AA111" i="1"/>
  <c r="AC111" i="1"/>
  <c r="AD111" i="1"/>
  <c r="B112" i="1"/>
  <c r="W112" i="1"/>
  <c r="AA112" i="1"/>
  <c r="AC112" i="1"/>
  <c r="AD112" i="1"/>
  <c r="AA51" i="1"/>
  <c r="AA50" i="1"/>
  <c r="AA49" i="1"/>
  <c r="AA48" i="1"/>
  <c r="AA47" i="1"/>
  <c r="AA46" i="1"/>
  <c r="AA45" i="1"/>
  <c r="AA44" i="1"/>
  <c r="AA43" i="1"/>
  <c r="AA42" i="1"/>
  <c r="AA41" i="1"/>
  <c r="B12" i="27"/>
  <c r="B13" i="27"/>
  <c r="B14" i="27"/>
  <c r="B15" i="27"/>
  <c r="B16" i="27"/>
  <c r="B17" i="27"/>
  <c r="B18" i="27"/>
  <c r="B19" i="27"/>
  <c r="B20" i="27"/>
  <c r="B7" i="27"/>
  <c r="B8" i="27"/>
  <c r="B9" i="27"/>
  <c r="B10" i="27"/>
  <c r="B11" i="27"/>
  <c r="B220" i="2"/>
  <c r="B221" i="2"/>
  <c r="B222" i="2"/>
  <c r="B223" i="2"/>
  <c r="B224" i="2"/>
  <c r="B225" i="2"/>
  <c r="B226" i="2"/>
  <c r="B227" i="2"/>
  <c r="B228" i="2"/>
  <c r="B229" i="2"/>
  <c r="B230" i="2"/>
  <c r="B231" i="2"/>
  <c r="B232" i="2"/>
  <c r="B233" i="2"/>
  <c r="B234" i="2"/>
  <c r="B235" i="2"/>
  <c r="B236" i="2"/>
  <c r="B237" i="2"/>
  <c r="B238" i="2"/>
  <c r="B239" i="2"/>
  <c r="B240" i="2"/>
  <c r="B241" i="2"/>
  <c r="B242" i="2"/>
  <c r="B243" i="2"/>
  <c r="B244" i="2"/>
  <c r="B245" i="2"/>
  <c r="B246" i="2"/>
  <c r="B247" i="2"/>
  <c r="B248" i="2"/>
  <c r="B249" i="2"/>
  <c r="B250" i="2"/>
  <c r="B251" i="2"/>
  <c r="B252" i="2"/>
  <c r="B253" i="2"/>
  <c r="B254" i="2"/>
  <c r="B255" i="2"/>
  <c r="B256" i="2"/>
  <c r="B257" i="2"/>
  <c r="B258" i="2"/>
  <c r="B259" i="2"/>
  <c r="B260" i="2"/>
  <c r="B261" i="2"/>
  <c r="B262" i="2"/>
  <c r="B263" i="2"/>
  <c r="B264" i="2"/>
  <c r="B265" i="2"/>
  <c r="B266" i="2"/>
  <c r="B267" i="2"/>
  <c r="B268" i="2"/>
  <c r="B269" i="2"/>
  <c r="B270" i="2"/>
  <c r="B271" i="2"/>
  <c r="B272" i="2"/>
  <c r="B273" i="2"/>
  <c r="B274" i="2"/>
  <c r="B275" i="2"/>
  <c r="B276" i="2"/>
  <c r="B277" i="2"/>
  <c r="B278" i="2"/>
  <c r="B279" i="2"/>
  <c r="B280" i="2"/>
  <c r="B281" i="2"/>
  <c r="B282" i="2"/>
  <c r="B283" i="2"/>
  <c r="B284" i="2"/>
  <c r="B285" i="2"/>
  <c r="B286" i="2"/>
  <c r="B287" i="2"/>
  <c r="B288" i="2"/>
  <c r="B289" i="2"/>
  <c r="B290" i="2"/>
  <c r="B291" i="2"/>
  <c r="B292" i="2"/>
  <c r="B293" i="2"/>
  <c r="B294" i="2"/>
  <c r="B295" i="2"/>
  <c r="B296" i="2"/>
  <c r="B297" i="2"/>
  <c r="B298" i="2"/>
  <c r="B299" i="2"/>
  <c r="B300" i="2"/>
  <c r="B301" i="2"/>
  <c r="B302" i="2"/>
  <c r="B303" i="2"/>
  <c r="B304" i="2"/>
  <c r="B305" i="2"/>
  <c r="B306" i="2"/>
  <c r="B307" i="2"/>
  <c r="B308" i="2"/>
  <c r="B309" i="2"/>
  <c r="B310" i="2"/>
  <c r="B311" i="2"/>
  <c r="B312" i="2"/>
  <c r="B313" i="2"/>
  <c r="B314" i="2"/>
  <c r="B315" i="2"/>
  <c r="B316" i="2"/>
  <c r="B317" i="2"/>
  <c r="B318" i="2"/>
  <c r="B319" i="2"/>
  <c r="B320" i="2"/>
  <c r="B321" i="2"/>
  <c r="B322" i="2"/>
  <c r="B323" i="2"/>
  <c r="B324" i="2"/>
  <c r="B325" i="2"/>
  <c r="B326" i="2"/>
  <c r="B327" i="2"/>
  <c r="B328" i="2"/>
  <c r="B329" i="2"/>
  <c r="B330" i="2"/>
  <c r="B331" i="2"/>
  <c r="B332" i="2"/>
  <c r="B333" i="2"/>
  <c r="B334" i="2"/>
  <c r="B335" i="2"/>
  <c r="B336" i="2"/>
  <c r="B337" i="2"/>
  <c r="B338" i="2"/>
  <c r="B339" i="2"/>
  <c r="B340" i="2"/>
  <c r="B341" i="2"/>
  <c r="B342" i="2"/>
  <c r="B343" i="2"/>
  <c r="B344" i="2"/>
  <c r="B345" i="2"/>
  <c r="B346" i="2"/>
  <c r="B347" i="2"/>
  <c r="B348" i="2"/>
  <c r="B349" i="2"/>
  <c r="B350" i="2"/>
  <c r="B351" i="2"/>
  <c r="B352" i="2"/>
  <c r="B353" i="2"/>
  <c r="B354" i="2"/>
  <c r="B355" i="2"/>
  <c r="B356" i="2"/>
  <c r="B357" i="2"/>
  <c r="B358" i="2"/>
  <c r="B359" i="2"/>
  <c r="B360" i="2"/>
  <c r="B361" i="2"/>
  <c r="B362" i="2"/>
  <c r="B363" i="2"/>
  <c r="B364" i="2"/>
  <c r="B365" i="2"/>
  <c r="B366" i="2"/>
  <c r="B367" i="2"/>
  <c r="B368" i="2"/>
  <c r="B369" i="2"/>
  <c r="B370" i="2"/>
  <c r="B371" i="2"/>
  <c r="B372" i="2"/>
  <c r="B373" i="2"/>
  <c r="B374" i="2"/>
  <c r="B375" i="2"/>
  <c r="B376" i="2"/>
  <c r="B377" i="2"/>
  <c r="B378" i="2"/>
  <c r="E220" i="2"/>
  <c r="F220" i="2"/>
  <c r="E221" i="2"/>
  <c r="F221" i="2"/>
  <c r="E222" i="2"/>
  <c r="F222" i="2"/>
  <c r="E223" i="2"/>
  <c r="F223" i="2"/>
  <c r="E224" i="2"/>
  <c r="F224" i="2"/>
  <c r="E225" i="2"/>
  <c r="F225" i="2"/>
  <c r="E226" i="2"/>
  <c r="F226" i="2"/>
  <c r="E227" i="2"/>
  <c r="F227" i="2"/>
  <c r="E228" i="2"/>
  <c r="F228" i="2"/>
  <c r="E229" i="2"/>
  <c r="F229" i="2"/>
  <c r="E230" i="2"/>
  <c r="F230" i="2"/>
  <c r="E231" i="2"/>
  <c r="F231" i="2"/>
  <c r="E232" i="2"/>
  <c r="F232" i="2"/>
  <c r="E233" i="2"/>
  <c r="F233" i="2"/>
  <c r="E234" i="2"/>
  <c r="F234" i="2"/>
  <c r="E235" i="2"/>
  <c r="F235" i="2"/>
  <c r="E236" i="2"/>
  <c r="F236" i="2"/>
  <c r="E237" i="2"/>
  <c r="F237" i="2"/>
  <c r="E238" i="2"/>
  <c r="F238" i="2"/>
  <c r="E239" i="2"/>
  <c r="F239" i="2"/>
  <c r="E240" i="2"/>
  <c r="F240" i="2"/>
  <c r="E241" i="2"/>
  <c r="F241" i="2"/>
  <c r="E242" i="2"/>
  <c r="F242" i="2"/>
  <c r="E243" i="2"/>
  <c r="F243" i="2"/>
  <c r="E244" i="2"/>
  <c r="F244" i="2"/>
  <c r="E245" i="2"/>
  <c r="F245" i="2"/>
  <c r="E246" i="2"/>
  <c r="F246" i="2"/>
  <c r="E247" i="2"/>
  <c r="F247" i="2"/>
  <c r="E248" i="2"/>
  <c r="F248" i="2"/>
  <c r="E249" i="2"/>
  <c r="F249" i="2"/>
  <c r="E250" i="2"/>
  <c r="F250" i="2"/>
  <c r="E251" i="2"/>
  <c r="F251" i="2"/>
  <c r="E252" i="2"/>
  <c r="F252" i="2"/>
  <c r="E253" i="2"/>
  <c r="F253" i="2"/>
  <c r="E254" i="2"/>
  <c r="F254" i="2"/>
  <c r="E255" i="2"/>
  <c r="F255" i="2"/>
  <c r="E256" i="2"/>
  <c r="F256" i="2"/>
  <c r="E257" i="2"/>
  <c r="F257" i="2"/>
  <c r="E258" i="2"/>
  <c r="F258" i="2"/>
  <c r="E259" i="2"/>
  <c r="F259" i="2"/>
  <c r="E260" i="2"/>
  <c r="F260" i="2"/>
  <c r="E261" i="2"/>
  <c r="F261" i="2"/>
  <c r="E262" i="2"/>
  <c r="F262" i="2"/>
  <c r="E263" i="2"/>
  <c r="F263" i="2"/>
  <c r="E264" i="2"/>
  <c r="F264" i="2"/>
  <c r="E265" i="2"/>
  <c r="F265" i="2"/>
  <c r="E266" i="2"/>
  <c r="F266" i="2"/>
  <c r="E267" i="2"/>
  <c r="F267" i="2"/>
  <c r="E268" i="2"/>
  <c r="F268" i="2"/>
  <c r="E269" i="2"/>
  <c r="F269" i="2"/>
  <c r="E270" i="2"/>
  <c r="F270" i="2"/>
  <c r="E271" i="2"/>
  <c r="F271" i="2"/>
  <c r="E272" i="2"/>
  <c r="F272" i="2"/>
  <c r="E273" i="2"/>
  <c r="F273" i="2"/>
  <c r="E274" i="2"/>
  <c r="F274" i="2"/>
  <c r="E275" i="2"/>
  <c r="F275" i="2"/>
  <c r="E276" i="2"/>
  <c r="F276" i="2"/>
  <c r="E277" i="2"/>
  <c r="F277" i="2"/>
  <c r="E278" i="2"/>
  <c r="F278" i="2"/>
  <c r="E279" i="2"/>
  <c r="F279" i="2"/>
  <c r="E280" i="2"/>
  <c r="F280" i="2"/>
  <c r="E281" i="2"/>
  <c r="F281" i="2"/>
  <c r="E282" i="2"/>
  <c r="F282" i="2"/>
  <c r="E283" i="2"/>
  <c r="F283" i="2"/>
  <c r="E284" i="2"/>
  <c r="F284" i="2"/>
  <c r="E285" i="2"/>
  <c r="F285" i="2"/>
  <c r="E286" i="2"/>
  <c r="F286" i="2"/>
  <c r="E287" i="2"/>
  <c r="F287" i="2"/>
  <c r="E288" i="2"/>
  <c r="F288" i="2"/>
  <c r="E289" i="2"/>
  <c r="F289" i="2"/>
  <c r="E290" i="2"/>
  <c r="F290" i="2"/>
  <c r="E291" i="2"/>
  <c r="F291" i="2"/>
  <c r="E292" i="2"/>
  <c r="F292" i="2"/>
  <c r="E293" i="2"/>
  <c r="F293" i="2"/>
  <c r="E294" i="2"/>
  <c r="F294" i="2"/>
  <c r="E295" i="2"/>
  <c r="F295" i="2"/>
  <c r="E296" i="2"/>
  <c r="F296" i="2"/>
  <c r="E297" i="2"/>
  <c r="F297" i="2"/>
  <c r="E298" i="2"/>
  <c r="F298" i="2"/>
  <c r="E299" i="2"/>
  <c r="F299" i="2"/>
  <c r="E300" i="2"/>
  <c r="F300" i="2"/>
  <c r="E301" i="2"/>
  <c r="F301" i="2"/>
  <c r="E302" i="2"/>
  <c r="F302" i="2"/>
  <c r="E303" i="2"/>
  <c r="F303" i="2"/>
  <c r="E304" i="2"/>
  <c r="F304" i="2"/>
  <c r="E305" i="2"/>
  <c r="F305" i="2"/>
  <c r="E306" i="2"/>
  <c r="F306" i="2"/>
  <c r="E307" i="2"/>
  <c r="F307" i="2"/>
  <c r="E308" i="2"/>
  <c r="F308" i="2"/>
  <c r="E309" i="2"/>
  <c r="F309" i="2"/>
  <c r="E310" i="2"/>
  <c r="F310" i="2"/>
  <c r="E311" i="2"/>
  <c r="F311" i="2"/>
  <c r="E312" i="2"/>
  <c r="F312" i="2"/>
  <c r="E313" i="2"/>
  <c r="F313" i="2"/>
  <c r="E314" i="2"/>
  <c r="F314" i="2"/>
  <c r="E315" i="2"/>
  <c r="F315" i="2"/>
  <c r="E316" i="2"/>
  <c r="F316" i="2"/>
  <c r="E317" i="2"/>
  <c r="F317" i="2"/>
  <c r="E318" i="2"/>
  <c r="F318" i="2"/>
  <c r="E319" i="2"/>
  <c r="F319" i="2"/>
  <c r="E320" i="2"/>
  <c r="F320" i="2"/>
  <c r="E321" i="2"/>
  <c r="F321" i="2"/>
  <c r="E322" i="2"/>
  <c r="F322" i="2"/>
  <c r="E323" i="2"/>
  <c r="F323" i="2"/>
  <c r="E324" i="2"/>
  <c r="F324" i="2"/>
  <c r="E325" i="2"/>
  <c r="F325" i="2"/>
  <c r="E326" i="2"/>
  <c r="F326" i="2"/>
  <c r="E327" i="2"/>
  <c r="F327" i="2"/>
  <c r="E328" i="2"/>
  <c r="F328" i="2"/>
  <c r="E329" i="2"/>
  <c r="F329" i="2"/>
  <c r="E330" i="2"/>
  <c r="F330" i="2"/>
  <c r="E331" i="2"/>
  <c r="F331" i="2"/>
  <c r="E332" i="2"/>
  <c r="F332" i="2"/>
  <c r="E333" i="2"/>
  <c r="F333" i="2"/>
  <c r="E334" i="2"/>
  <c r="F334" i="2"/>
  <c r="E335" i="2"/>
  <c r="F335" i="2"/>
  <c r="E336" i="2"/>
  <c r="F336" i="2"/>
  <c r="E337" i="2"/>
  <c r="F337" i="2"/>
  <c r="E338" i="2"/>
  <c r="F338" i="2"/>
  <c r="E339" i="2"/>
  <c r="F339" i="2"/>
  <c r="E340" i="2"/>
  <c r="F340" i="2"/>
  <c r="E341" i="2"/>
  <c r="F341" i="2"/>
  <c r="E342" i="2"/>
  <c r="F342" i="2"/>
  <c r="E343" i="2"/>
  <c r="F343" i="2"/>
  <c r="E344" i="2"/>
  <c r="F344" i="2"/>
  <c r="E345" i="2"/>
  <c r="F345" i="2"/>
  <c r="E346" i="2"/>
  <c r="F346" i="2"/>
  <c r="E347" i="2"/>
  <c r="F347" i="2"/>
  <c r="E348" i="2"/>
  <c r="F348" i="2"/>
  <c r="E349" i="2"/>
  <c r="F349" i="2"/>
  <c r="E350" i="2"/>
  <c r="F350" i="2"/>
  <c r="E351" i="2"/>
  <c r="F351" i="2"/>
  <c r="E352" i="2"/>
  <c r="F352" i="2"/>
  <c r="E353" i="2"/>
  <c r="F353" i="2"/>
  <c r="E354" i="2"/>
  <c r="F354" i="2"/>
  <c r="E355" i="2"/>
  <c r="F355" i="2"/>
  <c r="E356" i="2"/>
  <c r="F356" i="2"/>
  <c r="E357" i="2"/>
  <c r="F357" i="2"/>
  <c r="E358" i="2"/>
  <c r="F358" i="2"/>
  <c r="E359" i="2"/>
  <c r="F359" i="2"/>
  <c r="E360" i="2"/>
  <c r="F360" i="2"/>
  <c r="E361" i="2"/>
  <c r="F361" i="2"/>
  <c r="E362" i="2"/>
  <c r="F362" i="2"/>
  <c r="E363" i="2"/>
  <c r="F363" i="2"/>
  <c r="E364" i="2"/>
  <c r="F364" i="2"/>
  <c r="E365" i="2"/>
  <c r="F365" i="2"/>
  <c r="E366" i="2"/>
  <c r="F366" i="2"/>
  <c r="E367" i="2"/>
  <c r="F367" i="2"/>
  <c r="E368" i="2"/>
  <c r="F368" i="2"/>
  <c r="E369" i="2"/>
  <c r="F369" i="2"/>
  <c r="E370" i="2"/>
  <c r="F370" i="2"/>
  <c r="E371" i="2"/>
  <c r="F371" i="2"/>
  <c r="E372" i="2"/>
  <c r="F372" i="2"/>
  <c r="E373" i="2"/>
  <c r="F373" i="2"/>
  <c r="E374" i="2"/>
  <c r="F374" i="2"/>
  <c r="E375" i="2"/>
  <c r="F375" i="2"/>
  <c r="E376" i="2"/>
  <c r="F376" i="2"/>
  <c r="F377" i="2"/>
  <c r="F378" i="2"/>
  <c r="X86" i="1"/>
  <c r="Y86" i="1"/>
  <c r="Q86" i="1" s="1" a="1"/>
  <c r="Q86" i="1" s="1"/>
  <c r="B86" i="1"/>
  <c r="S86" i="1" a="1"/>
  <c r="S86" i="1" s="1"/>
  <c r="W86" i="1"/>
  <c r="Z86" i="1"/>
  <c r="AA86" i="1"/>
  <c r="AC86" i="1"/>
  <c r="AD86" i="1"/>
  <c r="S7" i="1" a="1"/>
  <c r="S7" i="1" s="1"/>
  <c r="S8" i="1" a="1"/>
  <c r="S8" i="1" s="1"/>
  <c r="S9" i="1" a="1"/>
  <c r="S9" i="1" s="1"/>
  <c r="S10" i="1" a="1"/>
  <c r="S10" i="1" s="1"/>
  <c r="S11" i="1" a="1"/>
  <c r="S11" i="1" s="1"/>
  <c r="S12" i="1" a="1"/>
  <c r="S12" i="1" s="1"/>
  <c r="S13" i="1" a="1"/>
  <c r="S13" i="1" s="1"/>
  <c r="S14" i="1" a="1"/>
  <c r="S14" i="1" s="1"/>
  <c r="S15" i="1" a="1"/>
  <c r="S15" i="1" s="1"/>
  <c r="S16" i="1" a="1"/>
  <c r="S16" i="1" s="1"/>
  <c r="S17" i="1" a="1"/>
  <c r="S17" i="1" s="1"/>
  <c r="S18" i="1" a="1"/>
  <c r="S18" i="1" s="1"/>
  <c r="S19" i="1" a="1"/>
  <c r="S19" i="1" s="1"/>
  <c r="S20" i="1" a="1"/>
  <c r="S20" i="1" s="1"/>
  <c r="S21" i="1" a="1"/>
  <c r="S21" i="1" s="1"/>
  <c r="S22" i="1" a="1"/>
  <c r="S22" i="1" s="1"/>
  <c r="S23" i="1" a="1"/>
  <c r="S23" i="1" s="1"/>
  <c r="S24" i="1" a="1"/>
  <c r="S24" i="1" s="1"/>
  <c r="S25" i="1" a="1"/>
  <c r="S25" i="1" s="1"/>
  <c r="S26" i="1" a="1"/>
  <c r="S26" i="1" s="1"/>
  <c r="S27" i="1" a="1"/>
  <c r="S27" i="1" s="1"/>
  <c r="S28" i="1" a="1"/>
  <c r="S28" i="1" s="1"/>
  <c r="S29" i="1" a="1"/>
  <c r="S29" i="1" s="1"/>
  <c r="S30" i="1" a="1"/>
  <c r="S30" i="1" s="1"/>
  <c r="S31" i="1" a="1"/>
  <c r="S31" i="1" s="1"/>
  <c r="S32" i="1" a="1"/>
  <c r="S32" i="1" s="1"/>
  <c r="S33" i="1" a="1"/>
  <c r="S33" i="1" s="1"/>
  <c r="S34" i="1" a="1"/>
  <c r="S34" i="1" s="1"/>
  <c r="S35" i="1" a="1"/>
  <c r="S35" i="1" s="1"/>
  <c r="S36" i="1" a="1"/>
  <c r="S36" i="1" s="1"/>
  <c r="S37" i="1" a="1"/>
  <c r="S37" i="1" s="1"/>
  <c r="S38" i="1" a="1"/>
  <c r="S38" i="1" s="1"/>
  <c r="S39" i="1" a="1"/>
  <c r="S39" i="1" s="1"/>
  <c r="S40" i="1" a="1"/>
  <c r="S40" i="1" s="1"/>
  <c r="S41" i="1" a="1"/>
  <c r="S41" i="1" s="1"/>
  <c r="S42" i="1" a="1"/>
  <c r="S42" i="1" s="1"/>
  <c r="S43" i="1" a="1"/>
  <c r="S43" i="1" s="1"/>
  <c r="S44" i="1" a="1"/>
  <c r="S44" i="1" s="1"/>
  <c r="S45" i="1" a="1"/>
  <c r="S45" i="1" s="1"/>
  <c r="S46" i="1" a="1"/>
  <c r="S46" i="1" s="1"/>
  <c r="S47" i="1" a="1"/>
  <c r="S47" i="1" s="1"/>
  <c r="S48" i="1" a="1"/>
  <c r="S48" i="1" s="1"/>
  <c r="S49" i="1" a="1"/>
  <c r="S49" i="1" s="1"/>
  <c r="S50" i="1" a="1"/>
  <c r="S50" i="1" s="1"/>
  <c r="S51" i="1" a="1"/>
  <c r="S51" i="1" s="1"/>
  <c r="S52" i="1" a="1"/>
  <c r="S52" i="1" s="1"/>
  <c r="S53" i="1" a="1"/>
  <c r="S53" i="1" s="1"/>
  <c r="S54" i="1" a="1"/>
  <c r="S54" i="1" s="1"/>
  <c r="S55" i="1" a="1"/>
  <c r="S55" i="1" s="1"/>
  <c r="S56" i="1" a="1"/>
  <c r="S56" i="1" s="1"/>
  <c r="S57" i="1" a="1"/>
  <c r="S57" i="1" s="1"/>
  <c r="S58" i="1" a="1"/>
  <c r="S58" i="1" s="1"/>
  <c r="S59" i="1" a="1"/>
  <c r="S59" i="1" s="1"/>
  <c r="S60" i="1" a="1"/>
  <c r="S60" i="1" s="1"/>
  <c r="S61" i="1" a="1"/>
  <c r="S61" i="1" s="1"/>
  <c r="S63" i="1" a="1"/>
  <c r="S63" i="1" s="1"/>
  <c r="S64" i="1" a="1"/>
  <c r="S64" i="1" s="1"/>
  <c r="S62" i="1" a="1"/>
  <c r="S62" i="1" s="1"/>
  <c r="S66" i="1" a="1"/>
  <c r="S66" i="1" s="1"/>
  <c r="S67" i="1" a="1"/>
  <c r="S67" i="1" s="1"/>
  <c r="S65" i="1" a="1"/>
  <c r="S65" i="1" s="1"/>
  <c r="S69" i="1" a="1"/>
  <c r="S69" i="1" s="1"/>
  <c r="S70" i="1" a="1"/>
  <c r="S70" i="1" s="1"/>
  <c r="S68" i="1" a="1"/>
  <c r="S68" i="1" s="1"/>
  <c r="S72" i="1" a="1"/>
  <c r="S72" i="1" s="1"/>
  <c r="S73" i="1" a="1"/>
  <c r="S73" i="1" s="1"/>
  <c r="S71" i="1" a="1"/>
  <c r="S71" i="1" s="1"/>
  <c r="S75" i="1" a="1"/>
  <c r="S75" i="1" s="1"/>
  <c r="S74" i="1" a="1"/>
  <c r="S74" i="1" s="1"/>
  <c r="S76" i="1" a="1"/>
  <c r="S76" i="1" s="1"/>
  <c r="S82" i="1" a="1"/>
  <c r="S82" i="1" s="1"/>
  <c r="S83" i="1" a="1"/>
  <c r="S83" i="1" s="1"/>
  <c r="S77" i="1" a="1"/>
  <c r="S77" i="1" s="1"/>
  <c r="S81" i="1" a="1"/>
  <c r="S81" i="1" s="1"/>
  <c r="S80" i="1" a="1"/>
  <c r="S80" i="1" s="1"/>
  <c r="S78" i="1" a="1"/>
  <c r="S78" i="1" s="1"/>
  <c r="S79" i="1" a="1"/>
  <c r="S79" i="1" s="1"/>
  <c r="S84" i="1" a="1"/>
  <c r="S84" i="1" s="1"/>
  <c r="S85" i="1" a="1"/>
  <c r="S85" i="1" s="1"/>
  <c r="S87" i="1" a="1"/>
  <c r="S87" i="1" s="1"/>
  <c r="S88" i="1" a="1"/>
  <c r="S88" i="1" s="1"/>
  <c r="S89" i="1" a="1"/>
  <c r="S89" i="1" s="1"/>
  <c r="S91" i="1" a="1"/>
  <c r="S91" i="1" s="1"/>
  <c r="S92" i="1" a="1"/>
  <c r="S92" i="1" s="1"/>
  <c r="S90" i="1" a="1"/>
  <c r="S90" i="1" s="1"/>
  <c r="S102" i="1" a="1"/>
  <c r="S102" i="1" s="1"/>
  <c r="S96" i="1" a="1"/>
  <c r="S96" i="1" s="1"/>
  <c r="S99" i="1" a="1"/>
  <c r="S99" i="1" s="1"/>
  <c r="S100" i="1" a="1"/>
  <c r="S100" i="1" s="1"/>
  <c r="S93" i="1" a="1"/>
  <c r="S93" i="1" s="1"/>
  <c r="S97" i="1" a="1"/>
  <c r="S97" i="1" s="1"/>
  <c r="S103" i="1" a="1"/>
  <c r="S103" i="1" s="1"/>
  <c r="S101" i="1" a="1"/>
  <c r="S101" i="1" s="1"/>
  <c r="S94" i="1" a="1"/>
  <c r="S94" i="1" s="1"/>
  <c r="S95" i="1" a="1"/>
  <c r="S95" i="1" s="1"/>
  <c r="S98" i="1" a="1"/>
  <c r="S98" i="1" s="1"/>
  <c r="S104" i="1" a="1"/>
  <c r="S104" i="1" s="1"/>
  <c r="S106" i="1" a="1"/>
  <c r="S106" i="1" s="1"/>
  <c r="S105" i="1" a="1"/>
  <c r="S105" i="1" s="1"/>
  <c r="S108" i="1" a="1"/>
  <c r="S108" i="1" s="1"/>
  <c r="S109" i="1" a="1"/>
  <c r="S109" i="1" s="1"/>
  <c r="S107" i="1" a="1"/>
  <c r="S107" i="1" s="1"/>
  <c r="Y104" i="1"/>
  <c r="R104" i="1" s="1" a="1"/>
  <c r="R104" i="1" s="1"/>
  <c r="Y106" i="1"/>
  <c r="R106" i="1" s="1" a="1"/>
  <c r="R106" i="1" s="1"/>
  <c r="Y105" i="1"/>
  <c r="R105" i="1" s="1" a="1"/>
  <c r="R105" i="1" s="1"/>
  <c r="Y108" i="1"/>
  <c r="F25" i="49" s="1"/>
  <c r="D25" i="49" s="1"/>
  <c r="Y109" i="1"/>
  <c r="R109" i="1" s="1" a="1"/>
  <c r="R109" i="1" s="1"/>
  <c r="Y107" i="1"/>
  <c r="R107" i="1" s="1" a="1"/>
  <c r="R107" i="1" s="1"/>
  <c r="X97" i="1"/>
  <c r="X103" i="1"/>
  <c r="X101" i="1"/>
  <c r="X94" i="1"/>
  <c r="X95" i="1"/>
  <c r="X98" i="1"/>
  <c r="X104" i="1"/>
  <c r="X106" i="1"/>
  <c r="X105" i="1"/>
  <c r="X108" i="1"/>
  <c r="X109" i="1"/>
  <c r="X107" i="1"/>
  <c r="B104" i="1"/>
  <c r="B106" i="1"/>
  <c r="B105" i="1"/>
  <c r="B108" i="1"/>
  <c r="B109" i="1"/>
  <c r="B107" i="1"/>
  <c r="W104" i="1"/>
  <c r="W106" i="1"/>
  <c r="W105" i="1"/>
  <c r="W108" i="1"/>
  <c r="W109" i="1"/>
  <c r="W107" i="1"/>
  <c r="Z104" i="1"/>
  <c r="Z106" i="1"/>
  <c r="Z105" i="1"/>
  <c r="Z108" i="1"/>
  <c r="Z109" i="1"/>
  <c r="Z107" i="1"/>
  <c r="AA104" i="1"/>
  <c r="AA106" i="1"/>
  <c r="AA105" i="1"/>
  <c r="AA108" i="1"/>
  <c r="AA109" i="1"/>
  <c r="AA107" i="1"/>
  <c r="AC104" i="1"/>
  <c r="AC106" i="1"/>
  <c r="AC105" i="1"/>
  <c r="AC108" i="1"/>
  <c r="AC109" i="1"/>
  <c r="AC107" i="1"/>
  <c r="AD104" i="1"/>
  <c r="AD106" i="1"/>
  <c r="AD105" i="1"/>
  <c r="AD108" i="1"/>
  <c r="AD109" i="1"/>
  <c r="AD107" i="1"/>
  <c r="Y102" i="1"/>
  <c r="Y96" i="1"/>
  <c r="Y99" i="1"/>
  <c r="Q99" i="1" s="1" a="1"/>
  <c r="Q99" i="1" s="1"/>
  <c r="Y100" i="1"/>
  <c r="R100" i="1" s="1" a="1"/>
  <c r="R100" i="1" s="1"/>
  <c r="Y93" i="1"/>
  <c r="F23" i="49" s="1"/>
  <c r="D23" i="49" s="1"/>
  <c r="Y97" i="1"/>
  <c r="Y103" i="1"/>
  <c r="Q103" i="1" s="1" a="1"/>
  <c r="Q103" i="1" s="1"/>
  <c r="Y101" i="1"/>
  <c r="R101" i="1" s="1" a="1"/>
  <c r="R101" i="1" s="1"/>
  <c r="Y94" i="1"/>
  <c r="F7" i="49" s="1"/>
  <c r="D7" i="49" s="1"/>
  <c r="Y95" i="1"/>
  <c r="Y98" i="1"/>
  <c r="Q98" i="1" s="1" a="1"/>
  <c r="Q98" i="1" s="1"/>
  <c r="X102" i="1"/>
  <c r="X96" i="1"/>
  <c r="X99" i="1"/>
  <c r="X100" i="1"/>
  <c r="X93" i="1"/>
  <c r="B102" i="1"/>
  <c r="B96" i="1"/>
  <c r="B99" i="1"/>
  <c r="B100" i="1"/>
  <c r="B93" i="1"/>
  <c r="B97" i="1"/>
  <c r="B103" i="1"/>
  <c r="B101" i="1"/>
  <c r="B94" i="1"/>
  <c r="B95" i="1"/>
  <c r="B98" i="1"/>
  <c r="W102" i="1"/>
  <c r="W96" i="1"/>
  <c r="W99" i="1"/>
  <c r="W100" i="1"/>
  <c r="W93" i="1"/>
  <c r="W97" i="1"/>
  <c r="W103" i="1"/>
  <c r="W101" i="1"/>
  <c r="W94" i="1"/>
  <c r="W95" i="1"/>
  <c r="W98" i="1"/>
  <c r="Z102" i="1"/>
  <c r="Z96" i="1"/>
  <c r="Z99" i="1"/>
  <c r="Z100" i="1"/>
  <c r="Z93" i="1"/>
  <c r="Z97" i="1"/>
  <c r="Z103" i="1"/>
  <c r="Z101" i="1"/>
  <c r="Z94" i="1"/>
  <c r="Z95" i="1"/>
  <c r="Z98" i="1"/>
  <c r="AA102" i="1"/>
  <c r="AA96" i="1"/>
  <c r="AA99" i="1"/>
  <c r="AA100" i="1"/>
  <c r="AA93" i="1"/>
  <c r="AA97" i="1"/>
  <c r="AA103" i="1"/>
  <c r="AA101" i="1"/>
  <c r="AA94" i="1"/>
  <c r="AA95" i="1"/>
  <c r="AA98" i="1"/>
  <c r="AC102" i="1"/>
  <c r="AC96" i="1"/>
  <c r="AC99" i="1"/>
  <c r="AC100" i="1"/>
  <c r="AC93" i="1"/>
  <c r="AC97" i="1"/>
  <c r="AC103" i="1"/>
  <c r="AC101" i="1"/>
  <c r="AC94" i="1"/>
  <c r="AC95" i="1"/>
  <c r="AC98" i="1"/>
  <c r="AD102" i="1"/>
  <c r="AD96" i="1"/>
  <c r="AD99" i="1"/>
  <c r="AD100" i="1"/>
  <c r="AD93" i="1"/>
  <c r="AD97" i="1"/>
  <c r="AD103" i="1"/>
  <c r="AD101" i="1"/>
  <c r="AD94" i="1"/>
  <c r="AD95" i="1"/>
  <c r="AD98" i="1"/>
  <c r="R97" i="1" l="1" a="1"/>
  <c r="R97" i="1" s="1"/>
  <c r="F8" i="49"/>
  <c r="D8" i="49" s="1"/>
  <c r="R111" i="1" a="1"/>
  <c r="R111" i="1" s="1"/>
  <c r="F20" i="49"/>
  <c r="D20" i="49" s="1"/>
  <c r="Q110" i="1" a="1"/>
  <c r="Q110" i="1" s="1"/>
  <c r="R86" i="1" a="1"/>
  <c r="R86" i="1" s="1"/>
  <c r="Q101" i="1" a="1"/>
  <c r="Q101" i="1" s="1"/>
  <c r="Q105" i="1" a="1"/>
  <c r="Q105" i="1" s="1"/>
  <c r="Q108" i="1" a="1"/>
  <c r="Q108" i="1" s="1"/>
  <c r="Q109" i="1" a="1"/>
  <c r="Q109" i="1" s="1"/>
  <c r="R108" i="1" a="1"/>
  <c r="R108" i="1" s="1"/>
  <c r="Q104" i="1" a="1"/>
  <c r="Q104" i="1" s="1"/>
  <c r="Q107" i="1" a="1"/>
  <c r="Q107" i="1" s="1"/>
  <c r="Q106" i="1" a="1"/>
  <c r="Q106" i="1" s="1"/>
  <c r="Q95" i="1" a="1"/>
  <c r="Q95" i="1" s="1"/>
  <c r="Q97" i="1" a="1"/>
  <c r="Q97" i="1" s="1"/>
  <c r="Q96" i="1" a="1"/>
  <c r="Q96" i="1" s="1"/>
  <c r="R103" i="1" a="1"/>
  <c r="R103" i="1" s="1"/>
  <c r="R93" i="1" a="1"/>
  <c r="R93" i="1" s="1"/>
  <c r="R95" i="1" a="1"/>
  <c r="R95" i="1" s="1"/>
  <c r="R96" i="1" a="1"/>
  <c r="R96" i="1" s="1"/>
  <c r="Q94" i="1" a="1"/>
  <c r="Q94" i="1" s="1"/>
  <c r="Q93" i="1" a="1"/>
  <c r="Q93" i="1" s="1"/>
  <c r="Q102" i="1" a="1"/>
  <c r="Q102" i="1" s="1"/>
  <c r="R99" i="1" a="1"/>
  <c r="R99" i="1" s="1"/>
  <c r="R94" i="1" a="1"/>
  <c r="R94" i="1" s="1"/>
  <c r="R102" i="1" a="1"/>
  <c r="R102" i="1" s="1"/>
  <c r="Q100" i="1" a="1"/>
  <c r="Q100" i="1" s="1"/>
  <c r="R98" i="1" a="1"/>
  <c r="R98" i="1" s="1"/>
  <c r="Y90" i="1" l="1"/>
  <c r="X91" i="1"/>
  <c r="X90" i="1"/>
  <c r="B90" i="1"/>
  <c r="W90" i="1"/>
  <c r="Z90" i="1"/>
  <c r="AA90" i="1"/>
  <c r="AC90" i="1"/>
  <c r="AD90" i="1"/>
  <c r="Y91" i="1"/>
  <c r="F10" i="49" s="1"/>
  <c r="D10" i="49" s="1"/>
  <c r="Y92" i="1"/>
  <c r="B91" i="1"/>
  <c r="B92" i="1"/>
  <c r="W91" i="1"/>
  <c r="W92" i="1"/>
  <c r="Z91" i="1"/>
  <c r="Z92" i="1"/>
  <c r="AA91" i="1"/>
  <c r="AA92" i="1"/>
  <c r="AC91" i="1"/>
  <c r="AC92" i="1"/>
  <c r="AD91" i="1"/>
  <c r="AD92" i="1"/>
  <c r="Y88" i="1"/>
  <c r="F21" i="49" s="1"/>
  <c r="D21" i="49" s="1"/>
  <c r="Y89" i="1"/>
  <c r="R89" i="1" s="1" a="1"/>
  <c r="R89" i="1" s="1"/>
  <c r="X88" i="1"/>
  <c r="X89" i="1"/>
  <c r="R90" i="1" l="1" a="1"/>
  <c r="R90" i="1" s="1"/>
  <c r="F22" i="49"/>
  <c r="D22" i="49" s="1"/>
  <c r="Q92" i="1" a="1"/>
  <c r="Q92" i="1" s="1"/>
  <c r="F24" i="49"/>
  <c r="D24" i="49" s="1"/>
  <c r="Q91" i="1" a="1"/>
  <c r="Q91" i="1" s="1"/>
  <c r="R91" i="1" a="1"/>
  <c r="R91" i="1" s="1"/>
  <c r="Q90" i="1" a="1"/>
  <c r="Q90" i="1" s="1"/>
  <c r="B89" i="1"/>
  <c r="W89" i="1"/>
  <c r="Z89" i="1"/>
  <c r="AA89" i="1"/>
  <c r="AC89" i="1"/>
  <c r="AD89" i="1"/>
  <c r="B88" i="1"/>
  <c r="W88" i="1"/>
  <c r="Q88" i="1" a="1"/>
  <c r="Q88" i="1" s="1"/>
  <c r="Z88" i="1"/>
  <c r="AA88" i="1"/>
  <c r="AC88" i="1"/>
  <c r="AD88" i="1"/>
  <c r="X56" i="1"/>
  <c r="X24" i="1"/>
  <c r="X57" i="1"/>
  <c r="X38" i="1"/>
  <c r="X61" i="1"/>
  <c r="X42" i="1"/>
  <c r="X40" i="1"/>
  <c r="X36" i="1"/>
  <c r="Y79" i="1"/>
  <c r="R79" i="1" s="1" a="1"/>
  <c r="R79" i="1" s="1"/>
  <c r="Y84" i="1"/>
  <c r="Q84" i="1" s="1" a="1"/>
  <c r="Q84" i="1" s="1"/>
  <c r="Y85" i="1"/>
  <c r="R85" i="1" s="1" a="1"/>
  <c r="R85" i="1" s="1"/>
  <c r="Y87" i="1"/>
  <c r="X85" i="1"/>
  <c r="B87" i="1"/>
  <c r="W87" i="1"/>
  <c r="Z87" i="1"/>
  <c r="AA87" i="1"/>
  <c r="AC87" i="1"/>
  <c r="AD87" i="1"/>
  <c r="B85" i="1"/>
  <c r="W85" i="1"/>
  <c r="Z85" i="1"/>
  <c r="AA85" i="1"/>
  <c r="AC85" i="1"/>
  <c r="AD85" i="1"/>
  <c r="Y82" i="1"/>
  <c r="Y83" i="1"/>
  <c r="Q83" i="1" s="1" a="1"/>
  <c r="Q83" i="1" s="1"/>
  <c r="Y77" i="1"/>
  <c r="R77" i="1" s="1" a="1"/>
  <c r="R77" i="1" s="1"/>
  <c r="Y81" i="1"/>
  <c r="Y80" i="1"/>
  <c r="Y78" i="1"/>
  <c r="R78" i="1" s="1" a="1"/>
  <c r="R78" i="1" s="1"/>
  <c r="X82" i="1"/>
  <c r="X83" i="1"/>
  <c r="X77" i="1"/>
  <c r="X81" i="1"/>
  <c r="X80" i="1"/>
  <c r="X78" i="1"/>
  <c r="X79" i="1"/>
  <c r="X84" i="1"/>
  <c r="AD79" i="1"/>
  <c r="AD84" i="1"/>
  <c r="AC79" i="1"/>
  <c r="AC84" i="1"/>
  <c r="AA79" i="1"/>
  <c r="AA84" i="1"/>
  <c r="Z79" i="1"/>
  <c r="Z84" i="1"/>
  <c r="W79" i="1"/>
  <c r="W84" i="1"/>
  <c r="B79" i="1"/>
  <c r="B84" i="1"/>
  <c r="B78" i="1"/>
  <c r="W78" i="1"/>
  <c r="Z78" i="1"/>
  <c r="AA78" i="1"/>
  <c r="AC78" i="1"/>
  <c r="AD78" i="1"/>
  <c r="B83" i="1"/>
  <c r="B77" i="1"/>
  <c r="B81" i="1"/>
  <c r="B80" i="1"/>
  <c r="W83" i="1"/>
  <c r="W77" i="1"/>
  <c r="W81" i="1"/>
  <c r="W80" i="1"/>
  <c r="Z83" i="1"/>
  <c r="Z77" i="1"/>
  <c r="Z81" i="1"/>
  <c r="Z80" i="1"/>
  <c r="AA83" i="1"/>
  <c r="AA77" i="1"/>
  <c r="AA81" i="1"/>
  <c r="AA80" i="1"/>
  <c r="AC83" i="1"/>
  <c r="AC77" i="1"/>
  <c r="AC81" i="1"/>
  <c r="AC80" i="1"/>
  <c r="AD83" i="1"/>
  <c r="AD77" i="1"/>
  <c r="AD81" i="1"/>
  <c r="AD80" i="1"/>
  <c r="B82" i="1"/>
  <c r="W82" i="1"/>
  <c r="Z82" i="1"/>
  <c r="AA82" i="1"/>
  <c r="AC82" i="1"/>
  <c r="AD82" i="1"/>
  <c r="X71" i="1"/>
  <c r="Q80" i="1" l="1" a="1"/>
  <c r="Q80" i="1" s="1"/>
  <c r="F12" i="49"/>
  <c r="D12" i="49" s="1"/>
  <c r="R81" i="1" a="1"/>
  <c r="R81" i="1" s="1"/>
  <c r="F18" i="49"/>
  <c r="D18" i="49" s="1"/>
  <c r="R87" i="1" a="1"/>
  <c r="R87" i="1" s="1"/>
  <c r="F17" i="49"/>
  <c r="D17" i="49" s="1"/>
  <c r="Q89" i="1" a="1"/>
  <c r="Q89" i="1" s="1"/>
  <c r="R88" i="1" a="1"/>
  <c r="R88" i="1" s="1"/>
  <c r="X87" i="1"/>
  <c r="Q87" i="1" a="1"/>
  <c r="Q87" i="1" s="1"/>
  <c r="Q85" i="1" a="1"/>
  <c r="Q85" i="1" s="1"/>
  <c r="R84" i="1" a="1"/>
  <c r="R84" i="1" s="1"/>
  <c r="Q79" i="1" a="1"/>
  <c r="Q79" i="1" s="1"/>
  <c r="R83" i="1" a="1"/>
  <c r="R83" i="1" s="1"/>
  <c r="Q81" i="1" a="1"/>
  <c r="Q81" i="1" s="1"/>
  <c r="Q78" i="1" a="1"/>
  <c r="Q78" i="1" s="1"/>
  <c r="Q77" i="1" a="1"/>
  <c r="Q77" i="1" s="1"/>
  <c r="R82" i="1" a="1"/>
  <c r="R82" i="1" s="1"/>
  <c r="Q82" i="1" a="1"/>
  <c r="Q82" i="1" s="1"/>
  <c r="R80" i="1" a="1"/>
  <c r="R80" i="1" s="1"/>
  <c r="X73" i="1" l="1"/>
  <c r="X75" i="1"/>
  <c r="Y75" i="1"/>
  <c r="F19" i="49" s="1"/>
  <c r="D19" i="49" s="1"/>
  <c r="Y74" i="1"/>
  <c r="Y76" i="1"/>
  <c r="X76" i="1" l="1"/>
  <c r="X74" i="1"/>
  <c r="B74" i="1"/>
  <c r="B76" i="1"/>
  <c r="W74" i="1"/>
  <c r="W76" i="1"/>
  <c r="Q74" i="1" a="1"/>
  <c r="Q74" i="1" s="1"/>
  <c r="Q76" i="1" a="1"/>
  <c r="Q76" i="1" s="1"/>
  <c r="Z74" i="1"/>
  <c r="Z76" i="1"/>
  <c r="AA74" i="1"/>
  <c r="AA76" i="1"/>
  <c r="AC74" i="1"/>
  <c r="AC76" i="1"/>
  <c r="AD74" i="1"/>
  <c r="AD76" i="1"/>
  <c r="B75" i="1"/>
  <c r="W75" i="1"/>
  <c r="R75" i="1" a="1"/>
  <c r="R75" i="1" s="1"/>
  <c r="Z75" i="1"/>
  <c r="AA75" i="1"/>
  <c r="AC75" i="1"/>
  <c r="AD75" i="1"/>
  <c r="X69" i="1"/>
  <c r="Y71" i="1"/>
  <c r="R71" i="1" s="1" a="1"/>
  <c r="R71" i="1" s="1"/>
  <c r="B71" i="1"/>
  <c r="W71" i="1"/>
  <c r="Z71" i="1"/>
  <c r="AA71" i="1"/>
  <c r="AC71" i="1"/>
  <c r="AD71" i="1"/>
  <c r="Y72" i="1"/>
  <c r="Y73" i="1"/>
  <c r="X72" i="1"/>
  <c r="B73" i="1"/>
  <c r="W73" i="1"/>
  <c r="Z73" i="1"/>
  <c r="AA73" i="1"/>
  <c r="AD73" i="1"/>
  <c r="B72" i="1"/>
  <c r="W72" i="1"/>
  <c r="Z72" i="1"/>
  <c r="AA72" i="1"/>
  <c r="AC72" i="1"/>
  <c r="AD72" i="1"/>
  <c r="Y69" i="1"/>
  <c r="R69" i="1" s="1" a="1"/>
  <c r="R69" i="1" s="1"/>
  <c r="Y70" i="1"/>
  <c r="R70" i="1" s="1" a="1"/>
  <c r="R70" i="1" s="1"/>
  <c r="Y68" i="1"/>
  <c r="Q68" i="1" s="1" a="1"/>
  <c r="Q68" i="1" s="1"/>
  <c r="X70" i="1"/>
  <c r="X68" i="1"/>
  <c r="B69" i="1"/>
  <c r="B70" i="1"/>
  <c r="B68" i="1"/>
  <c r="W69" i="1"/>
  <c r="W70" i="1"/>
  <c r="W68" i="1"/>
  <c r="Z69" i="1"/>
  <c r="Z70" i="1"/>
  <c r="Z68" i="1"/>
  <c r="AA69" i="1"/>
  <c r="AA70" i="1"/>
  <c r="AA68" i="1"/>
  <c r="AC69" i="1"/>
  <c r="AC70" i="1"/>
  <c r="AC68" i="1"/>
  <c r="AD69" i="1"/>
  <c r="AD70" i="1"/>
  <c r="AD68" i="1"/>
  <c r="Z2" i="1"/>
  <c r="Z3" i="1"/>
  <c r="Z4" i="1"/>
  <c r="Z5" i="1"/>
  <c r="Z6" i="1"/>
  <c r="Z7" i="1"/>
  <c r="Z8" i="1"/>
  <c r="Z9" i="1"/>
  <c r="Z10" i="1"/>
  <c r="Z11" i="1"/>
  <c r="Z12" i="1"/>
  <c r="Z13" i="1"/>
  <c r="Z14" i="1"/>
  <c r="Z15" i="1"/>
  <c r="Z16" i="1"/>
  <c r="Z17" i="1"/>
  <c r="Z18" i="1"/>
  <c r="Z19" i="1"/>
  <c r="Z20" i="1"/>
  <c r="Z21" i="1"/>
  <c r="Z22" i="1"/>
  <c r="Z23" i="1"/>
  <c r="Z24" i="1"/>
  <c r="Z25" i="1"/>
  <c r="Z26" i="1"/>
  <c r="Z27" i="1"/>
  <c r="Z28" i="1"/>
  <c r="Z29" i="1"/>
  <c r="Z30" i="1"/>
  <c r="Z31" i="1"/>
  <c r="Z32" i="1"/>
  <c r="Z33" i="1"/>
  <c r="Z34" i="1"/>
  <c r="Z35" i="1"/>
  <c r="Z36" i="1"/>
  <c r="Z37" i="1"/>
  <c r="Z38" i="1"/>
  <c r="Z39" i="1"/>
  <c r="Z40" i="1"/>
  <c r="Z41" i="1"/>
  <c r="Z42" i="1"/>
  <c r="Z43" i="1"/>
  <c r="Z44" i="1"/>
  <c r="Z45" i="1"/>
  <c r="Z46" i="1"/>
  <c r="Z47" i="1"/>
  <c r="Z48" i="1"/>
  <c r="Z49" i="1"/>
  <c r="Z50" i="1"/>
  <c r="Z51" i="1"/>
  <c r="Z52" i="1"/>
  <c r="Z53" i="1"/>
  <c r="Z54" i="1"/>
  <c r="Z55" i="1"/>
  <c r="Z56" i="1"/>
  <c r="Z57" i="1"/>
  <c r="Z58" i="1"/>
  <c r="Z59" i="1"/>
  <c r="Z60" i="1"/>
  <c r="Z61" i="1"/>
  <c r="Z63" i="1"/>
  <c r="Z64" i="1"/>
  <c r="Z62" i="1"/>
  <c r="Z66" i="1"/>
  <c r="Z67" i="1"/>
  <c r="Z65" i="1"/>
  <c r="Y65" i="1"/>
  <c r="Q65" i="1" s="1" a="1"/>
  <c r="Q65" i="1" s="1"/>
  <c r="Y66" i="1"/>
  <c r="Y67" i="1"/>
  <c r="X66" i="1"/>
  <c r="X67" i="1"/>
  <c r="X65" i="1"/>
  <c r="B66" i="1"/>
  <c r="B67" i="1"/>
  <c r="B65" i="1"/>
  <c r="W66" i="1"/>
  <c r="W67" i="1"/>
  <c r="W65" i="1"/>
  <c r="AA66" i="1"/>
  <c r="AA67" i="1"/>
  <c r="AA65" i="1"/>
  <c r="AC66" i="1"/>
  <c r="AC67" i="1"/>
  <c r="AC65" i="1"/>
  <c r="AD66" i="1"/>
  <c r="AD67" i="1"/>
  <c r="AD65" i="1"/>
  <c r="G24" i="43"/>
  <c r="G26" i="43"/>
  <c r="G25" i="43"/>
  <c r="G27" i="43"/>
  <c r="G28" i="43"/>
  <c r="G29" i="43"/>
  <c r="G30" i="43"/>
  <c r="G31" i="43"/>
  <c r="G32" i="43"/>
  <c r="G33" i="43"/>
  <c r="G34" i="43"/>
  <c r="G35" i="43"/>
  <c r="G36" i="43"/>
  <c r="G37" i="43"/>
  <c r="G38" i="43"/>
  <c r="G39" i="43"/>
  <c r="Y63" i="1"/>
  <c r="Y64" i="1"/>
  <c r="Y62" i="1"/>
  <c r="X62" i="1"/>
  <c r="Q63" i="1" l="1" a="1"/>
  <c r="Q63" i="1" s="1"/>
  <c r="F16" i="49"/>
  <c r="D16" i="49" s="1"/>
  <c r="Q72" i="1" a="1"/>
  <c r="Q72" i="1" s="1"/>
  <c r="F6" i="49"/>
  <c r="D6" i="49" s="1"/>
  <c r="R76" i="1" a="1"/>
  <c r="R76" i="1" s="1"/>
  <c r="R74" i="1" a="1"/>
  <c r="R74" i="1" s="1"/>
  <c r="Q75" i="1" a="1"/>
  <c r="Q75" i="1" s="1"/>
  <c r="Q71" i="1" a="1"/>
  <c r="Q71" i="1" s="1"/>
  <c r="R72" i="1" a="1"/>
  <c r="R72" i="1" s="1"/>
  <c r="R68" i="1" a="1"/>
  <c r="R68" i="1" s="1"/>
  <c r="Q70" i="1" a="1"/>
  <c r="Q70" i="1" s="1"/>
  <c r="Q69" i="1" a="1"/>
  <c r="Q69" i="1" s="1"/>
  <c r="Q67" i="1" a="1"/>
  <c r="Q67" i="1" s="1"/>
  <c r="Q66" i="1" a="1"/>
  <c r="Q66" i="1" s="1"/>
  <c r="R67" i="1" a="1"/>
  <c r="R67" i="1" s="1"/>
  <c r="R65" i="1" a="1"/>
  <c r="R65" i="1" s="1"/>
  <c r="B63" i="1"/>
  <c r="B64" i="1"/>
  <c r="B62" i="1"/>
  <c r="W63" i="1"/>
  <c r="W64" i="1"/>
  <c r="W62" i="1"/>
  <c r="R63" i="1" a="1"/>
  <c r="R63" i="1" s="1"/>
  <c r="Q64" i="1" a="1"/>
  <c r="Q64" i="1" s="1"/>
  <c r="AA63" i="1"/>
  <c r="AA64" i="1"/>
  <c r="AA62" i="1"/>
  <c r="AC63" i="1"/>
  <c r="AC64" i="1"/>
  <c r="AC62" i="1"/>
  <c r="AD63" i="1"/>
  <c r="AD64" i="1"/>
  <c r="AD62" i="1"/>
  <c r="F15" i="2"/>
  <c r="Y15" i="1"/>
  <c r="Y16" i="1"/>
  <c r="Y17" i="1"/>
  <c r="Y18" i="1"/>
  <c r="Y19" i="1"/>
  <c r="Y20" i="1"/>
  <c r="Y21" i="1"/>
  <c r="Y22" i="1"/>
  <c r="Y23" i="1"/>
  <c r="Y24" i="1"/>
  <c r="Y25" i="1"/>
  <c r="Y26" i="1"/>
  <c r="Y27" i="1"/>
  <c r="Y28" i="1"/>
  <c r="Q28" i="1" s="1" a="1"/>
  <c r="Q28" i="1" s="1"/>
  <c r="Y29" i="1"/>
  <c r="Q29" i="1" s="1" a="1"/>
  <c r="Q29" i="1" s="1"/>
  <c r="Y30" i="1"/>
  <c r="Y31" i="1"/>
  <c r="Y32" i="1"/>
  <c r="Y33" i="1"/>
  <c r="Y34" i="1"/>
  <c r="Y35" i="1"/>
  <c r="Y36" i="1"/>
  <c r="Q36" i="1" s="1" a="1"/>
  <c r="Q36" i="1" s="1"/>
  <c r="Y37" i="1"/>
  <c r="Y38" i="1"/>
  <c r="Q38" i="1" s="1" a="1"/>
  <c r="Q38" i="1" s="1"/>
  <c r="Y39" i="1"/>
  <c r="Q39" i="1" s="1" a="1"/>
  <c r="Q39" i="1" s="1"/>
  <c r="Y40" i="1"/>
  <c r="Q40" i="1" s="1" a="1"/>
  <c r="Q40" i="1" s="1"/>
  <c r="Y41" i="1"/>
  <c r="Q41" i="1" s="1" a="1"/>
  <c r="Q41" i="1" s="1"/>
  <c r="Y42" i="1"/>
  <c r="Q42" i="1" s="1" a="1"/>
  <c r="Q42" i="1" s="1"/>
  <c r="Y43" i="1"/>
  <c r="Q43" i="1" s="1" a="1"/>
  <c r="Q43" i="1" s="1"/>
  <c r="Y44" i="1"/>
  <c r="Q44" i="1" s="1" a="1"/>
  <c r="Q44" i="1" s="1"/>
  <c r="Y45" i="1"/>
  <c r="Q45" i="1" s="1" a="1"/>
  <c r="Q45" i="1" s="1"/>
  <c r="Y46" i="1"/>
  <c r="Q46" i="1" s="1" a="1"/>
  <c r="Q46" i="1" s="1"/>
  <c r="Y47" i="1"/>
  <c r="Q47" i="1" s="1" a="1"/>
  <c r="Q47" i="1" s="1"/>
  <c r="Y48" i="1"/>
  <c r="Q48" i="1" s="1" a="1"/>
  <c r="Q48" i="1" s="1"/>
  <c r="Y49" i="1"/>
  <c r="Y50" i="1"/>
  <c r="Q50" i="1" s="1" a="1"/>
  <c r="Q50" i="1" s="1"/>
  <c r="Y51" i="1"/>
  <c r="Y52" i="1"/>
  <c r="Y53" i="1"/>
  <c r="Y54" i="1"/>
  <c r="Y55" i="1"/>
  <c r="Y56" i="1"/>
  <c r="Q56" i="1" s="1" a="1"/>
  <c r="Q56" i="1" s="1"/>
  <c r="Y57" i="1"/>
  <c r="Y58" i="1"/>
  <c r="R58" i="1" s="1" a="1"/>
  <c r="R58" i="1" s="1"/>
  <c r="Y59" i="1"/>
  <c r="Q59" i="1" s="1" a="1"/>
  <c r="Q59" i="1" s="1"/>
  <c r="Y60" i="1"/>
  <c r="Y61" i="1"/>
  <c r="Q61" i="1" s="1" a="1"/>
  <c r="Q61" i="1" s="1"/>
  <c r="Y14" i="1"/>
  <c r="Y2" i="1"/>
  <c r="Y3" i="1"/>
  <c r="Y4" i="1"/>
  <c r="Q4" i="1" s="1" a="1"/>
  <c r="Q4" i="1" s="1"/>
  <c r="Y5" i="1"/>
  <c r="Y6" i="1"/>
  <c r="Q6" i="1" s="1" a="1"/>
  <c r="Q6" i="1" s="1"/>
  <c r="Y7" i="1"/>
  <c r="Y8" i="1"/>
  <c r="Y9" i="1"/>
  <c r="Y10" i="1"/>
  <c r="Y11" i="1"/>
  <c r="Y12" i="1"/>
  <c r="Y13" i="1"/>
  <c r="H10" i="43"/>
  <c r="G10" i="43"/>
  <c r="E206" i="2"/>
  <c r="F206" i="2"/>
  <c r="E207" i="2"/>
  <c r="F207" i="2"/>
  <c r="E208" i="2"/>
  <c r="F208" i="2"/>
  <c r="E209" i="2"/>
  <c r="F209" i="2"/>
  <c r="E210" i="2"/>
  <c r="F210" i="2"/>
  <c r="E211" i="2"/>
  <c r="F211" i="2"/>
  <c r="E212" i="2"/>
  <c r="F212" i="2"/>
  <c r="E213" i="2"/>
  <c r="F213" i="2"/>
  <c r="E214" i="2"/>
  <c r="F214" i="2"/>
  <c r="E215" i="2"/>
  <c r="F215" i="2"/>
  <c r="E216" i="2"/>
  <c r="F216" i="2"/>
  <c r="E217" i="2"/>
  <c r="F217" i="2"/>
  <c r="E218" i="2"/>
  <c r="F218" i="2"/>
  <c r="E219" i="2"/>
  <c r="F219" i="2"/>
  <c r="B5" i="2"/>
  <c r="B6" i="2"/>
  <c r="B7" i="2"/>
  <c r="B8" i="2"/>
  <c r="B9" i="2"/>
  <c r="B10" i="2"/>
  <c r="B11" i="2"/>
  <c r="B12" i="2"/>
  <c r="B13" i="2"/>
  <c r="B14" i="2"/>
  <c r="B15" i="2"/>
  <c r="B16" i="2"/>
  <c r="B17" i="2"/>
  <c r="B18" i="2"/>
  <c r="B19" i="2"/>
  <c r="B20" i="2"/>
  <c r="B21" i="2"/>
  <c r="B22" i="2"/>
  <c r="B23" i="2"/>
  <c r="B24" i="2"/>
  <c r="B25" i="2"/>
  <c r="B26" i="2"/>
  <c r="B27" i="2"/>
  <c r="B28" i="2"/>
  <c r="B29" i="2"/>
  <c r="B30" i="2"/>
  <c r="B31" i="2"/>
  <c r="B32" i="2"/>
  <c r="B33" i="2"/>
  <c r="B34" i="2"/>
  <c r="B35" i="2"/>
  <c r="B36" i="2"/>
  <c r="B37" i="2"/>
  <c r="B38" i="2"/>
  <c r="B39" i="2"/>
  <c r="B40" i="2"/>
  <c r="B41" i="2"/>
  <c r="B42" i="2"/>
  <c r="B43" i="2"/>
  <c r="B44" i="2"/>
  <c r="B45" i="2"/>
  <c r="B46" i="2"/>
  <c r="B47" i="2"/>
  <c r="B48" i="2"/>
  <c r="B49" i="2"/>
  <c r="B50" i="2"/>
  <c r="B51" i="2"/>
  <c r="B52" i="2"/>
  <c r="B53" i="2"/>
  <c r="B54" i="2"/>
  <c r="B55" i="2"/>
  <c r="B56" i="2"/>
  <c r="B57" i="2"/>
  <c r="B58" i="2"/>
  <c r="B59" i="2"/>
  <c r="B60" i="2"/>
  <c r="B61" i="2"/>
  <c r="B62" i="2"/>
  <c r="B63" i="2"/>
  <c r="B64" i="2"/>
  <c r="B65" i="2"/>
  <c r="B66" i="2"/>
  <c r="B67" i="2"/>
  <c r="B68" i="2"/>
  <c r="B69" i="2"/>
  <c r="B70" i="2"/>
  <c r="B71" i="2"/>
  <c r="B72" i="2"/>
  <c r="B73" i="2"/>
  <c r="B74" i="2"/>
  <c r="B75" i="2"/>
  <c r="B76" i="2"/>
  <c r="B77" i="2"/>
  <c r="B78" i="2"/>
  <c r="B79" i="2"/>
  <c r="B80" i="2"/>
  <c r="B81" i="2"/>
  <c r="B82" i="2"/>
  <c r="B83" i="2"/>
  <c r="B84" i="2"/>
  <c r="B85" i="2"/>
  <c r="B86" i="2"/>
  <c r="B87" i="2"/>
  <c r="B88" i="2"/>
  <c r="B89" i="2"/>
  <c r="B90" i="2"/>
  <c r="B91" i="2"/>
  <c r="B92" i="2"/>
  <c r="B93" i="2"/>
  <c r="B94" i="2"/>
  <c r="B95" i="2"/>
  <c r="B96" i="2"/>
  <c r="B97" i="2"/>
  <c r="B98" i="2"/>
  <c r="B99" i="2"/>
  <c r="B100" i="2"/>
  <c r="B101" i="2"/>
  <c r="B102" i="2"/>
  <c r="B103" i="2"/>
  <c r="B104" i="2"/>
  <c r="B105" i="2"/>
  <c r="B106" i="2"/>
  <c r="B107" i="2"/>
  <c r="B108" i="2"/>
  <c r="B109" i="2"/>
  <c r="B110" i="2"/>
  <c r="B111" i="2"/>
  <c r="B112" i="2"/>
  <c r="B113" i="2"/>
  <c r="B114" i="2"/>
  <c r="B115" i="2"/>
  <c r="B116" i="2"/>
  <c r="B117" i="2"/>
  <c r="B118" i="2"/>
  <c r="B119" i="2"/>
  <c r="B120" i="2"/>
  <c r="B121" i="2"/>
  <c r="B122" i="2"/>
  <c r="B123" i="2"/>
  <c r="B124" i="2"/>
  <c r="B125" i="2"/>
  <c r="B126" i="2"/>
  <c r="B127" i="2"/>
  <c r="B128" i="2"/>
  <c r="B129" i="2"/>
  <c r="B130" i="2"/>
  <c r="B131" i="2"/>
  <c r="B132" i="2"/>
  <c r="B133" i="2"/>
  <c r="B134" i="2"/>
  <c r="B135" i="2"/>
  <c r="B136" i="2"/>
  <c r="B137" i="2"/>
  <c r="B138" i="2"/>
  <c r="B139" i="2"/>
  <c r="B140" i="2"/>
  <c r="B141" i="2"/>
  <c r="B142" i="2"/>
  <c r="B143" i="2"/>
  <c r="B144" i="2"/>
  <c r="B145" i="2"/>
  <c r="B146" i="2"/>
  <c r="B147" i="2"/>
  <c r="B148" i="2"/>
  <c r="B149" i="2"/>
  <c r="B150" i="2"/>
  <c r="B151" i="2"/>
  <c r="B152" i="2"/>
  <c r="B153" i="2"/>
  <c r="B154" i="2"/>
  <c r="B155" i="2"/>
  <c r="B156" i="2"/>
  <c r="B157" i="2"/>
  <c r="B158" i="2"/>
  <c r="B159" i="2"/>
  <c r="B160" i="2"/>
  <c r="B161" i="2"/>
  <c r="B162" i="2"/>
  <c r="B163" i="2"/>
  <c r="B164" i="2"/>
  <c r="B165" i="2"/>
  <c r="B166" i="2"/>
  <c r="B167" i="2"/>
  <c r="B168" i="2"/>
  <c r="B169" i="2"/>
  <c r="B170" i="2"/>
  <c r="B171" i="2"/>
  <c r="B172" i="2"/>
  <c r="B173" i="2"/>
  <c r="B174" i="2"/>
  <c r="B175" i="2"/>
  <c r="B176" i="2"/>
  <c r="B177" i="2"/>
  <c r="B178" i="2"/>
  <c r="B179" i="2"/>
  <c r="B180" i="2"/>
  <c r="B181" i="2"/>
  <c r="B182" i="2"/>
  <c r="B183" i="2"/>
  <c r="B184" i="2"/>
  <c r="B185" i="2"/>
  <c r="B186" i="2"/>
  <c r="B187" i="2"/>
  <c r="B188" i="2"/>
  <c r="B189" i="2"/>
  <c r="B190" i="2"/>
  <c r="B191" i="2"/>
  <c r="B192" i="2"/>
  <c r="B193" i="2"/>
  <c r="B194" i="2"/>
  <c r="B195" i="2"/>
  <c r="B196" i="2"/>
  <c r="B197" i="2"/>
  <c r="B198" i="2"/>
  <c r="B199" i="2"/>
  <c r="B200" i="2"/>
  <c r="B201" i="2"/>
  <c r="B202" i="2"/>
  <c r="B203" i="2"/>
  <c r="B204" i="2"/>
  <c r="B205" i="2"/>
  <c r="B206" i="2"/>
  <c r="B207" i="2"/>
  <c r="B208" i="2"/>
  <c r="B209" i="2"/>
  <c r="B210" i="2"/>
  <c r="B211" i="2"/>
  <c r="B212" i="2"/>
  <c r="B213" i="2"/>
  <c r="B214" i="2"/>
  <c r="B215" i="2"/>
  <c r="B216" i="2"/>
  <c r="B217" i="2"/>
  <c r="B218" i="2"/>
  <c r="B219" i="2"/>
  <c r="W2" i="1"/>
  <c r="W3" i="1"/>
  <c r="W4" i="1"/>
  <c r="W5" i="1"/>
  <c r="W6" i="1"/>
  <c r="W7" i="1"/>
  <c r="W8" i="1"/>
  <c r="W9" i="1"/>
  <c r="W10" i="1"/>
  <c r="W11" i="1"/>
  <c r="W12" i="1"/>
  <c r="W13" i="1"/>
  <c r="W14" i="1"/>
  <c r="W15" i="1"/>
  <c r="W16" i="1"/>
  <c r="W17" i="1"/>
  <c r="W18" i="1"/>
  <c r="W19" i="1"/>
  <c r="W20" i="1"/>
  <c r="W21" i="1"/>
  <c r="W22" i="1"/>
  <c r="W23" i="1"/>
  <c r="W24" i="1"/>
  <c r="W25" i="1"/>
  <c r="W26" i="1"/>
  <c r="W27" i="1"/>
  <c r="W28" i="1"/>
  <c r="W29" i="1"/>
  <c r="W30" i="1"/>
  <c r="W31" i="1"/>
  <c r="W32" i="1"/>
  <c r="W33" i="1"/>
  <c r="W34" i="1"/>
  <c r="W35" i="1"/>
  <c r="W36" i="1"/>
  <c r="W37" i="1"/>
  <c r="W38" i="1"/>
  <c r="W39" i="1"/>
  <c r="W40" i="1"/>
  <c r="W41" i="1"/>
  <c r="W42" i="1"/>
  <c r="W43" i="1"/>
  <c r="W44" i="1"/>
  <c r="W45" i="1"/>
  <c r="W46" i="1"/>
  <c r="W47" i="1"/>
  <c r="W48" i="1"/>
  <c r="W49" i="1"/>
  <c r="W50" i="1"/>
  <c r="W51" i="1"/>
  <c r="W55" i="1"/>
  <c r="W56" i="1"/>
  <c r="W52" i="1"/>
  <c r="W59" i="1"/>
  <c r="W57" i="1"/>
  <c r="W53" i="1"/>
  <c r="W54" i="1"/>
  <c r="W60" i="1"/>
  <c r="W58" i="1"/>
  <c r="W61" i="1"/>
  <c r="X51" i="1"/>
  <c r="X55" i="1"/>
  <c r="X52" i="1"/>
  <c r="X59" i="1"/>
  <c r="X53" i="1"/>
  <c r="X54" i="1"/>
  <c r="X60" i="1"/>
  <c r="X58" i="1"/>
  <c r="Q3" i="1" l="1" a="1"/>
  <c r="Q3" i="1" s="1"/>
  <c r="R3" i="1" a="1"/>
  <c r="R3" i="1" s="1"/>
  <c r="Q5" i="1" a="1"/>
  <c r="Q5" i="1" s="1"/>
  <c r="R5" i="1" a="1"/>
  <c r="R5" i="1" s="1"/>
  <c r="Q2" i="1" a="1"/>
  <c r="Q2" i="1" s="1"/>
  <c r="R2" i="1" a="1"/>
  <c r="R2" i="1" s="1"/>
  <c r="R24" i="1" a="1"/>
  <c r="R24" i="1" s="1"/>
  <c r="Q24" i="1" a="1"/>
  <c r="Q24" i="1" s="1"/>
  <c r="X64" i="1"/>
  <c r="Q49" i="1" a="1"/>
  <c r="Q49" i="1" s="1"/>
  <c r="R49" i="1" a="1"/>
  <c r="R49" i="1" s="1"/>
  <c r="Q51" i="1" a="1"/>
  <c r="Q51" i="1" s="1"/>
  <c r="R51" i="1" a="1"/>
  <c r="R51" i="1" s="1"/>
  <c r="Q58" i="1" a="1"/>
  <c r="Q58" i="1" s="1"/>
  <c r="Q62" i="1" a="1"/>
  <c r="Q62" i="1" s="1"/>
  <c r="R64" i="1" a="1"/>
  <c r="R64" i="1" s="1"/>
  <c r="AD58" i="1"/>
  <c r="AA58" i="1"/>
  <c r="AA61" i="1"/>
  <c r="AC61" i="1"/>
  <c r="AD61" i="1"/>
  <c r="B59" i="1"/>
  <c r="B55" i="1"/>
  <c r="B53" i="1"/>
  <c r="B57" i="1"/>
  <c r="B56" i="1"/>
  <c r="B52" i="1"/>
  <c r="B54" i="1"/>
  <c r="B60" i="1"/>
  <c r="Q55" i="1" a="1"/>
  <c r="Q55" i="1" s="1"/>
  <c r="Q53" i="1" a="1"/>
  <c r="Q53" i="1" s="1"/>
  <c r="Q57" i="1" a="1"/>
  <c r="Q57" i="1" s="1"/>
  <c r="Q52" i="1" a="1"/>
  <c r="Q52" i="1" s="1"/>
  <c r="Q54" i="1" a="1"/>
  <c r="Q54" i="1" s="1"/>
  <c r="Q60" i="1" a="1"/>
  <c r="Q60" i="1" s="1"/>
  <c r="R59" i="1" a="1"/>
  <c r="R59" i="1" s="1"/>
  <c r="R55" i="1" a="1"/>
  <c r="R55" i="1" s="1"/>
  <c r="R53" i="1" a="1"/>
  <c r="R53" i="1" s="1"/>
  <c r="R52" i="1" a="1"/>
  <c r="R52" i="1" s="1"/>
  <c r="R54" i="1" a="1"/>
  <c r="R54" i="1" s="1"/>
  <c r="R60" i="1" a="1"/>
  <c r="R60" i="1" s="1"/>
  <c r="AA59" i="1"/>
  <c r="AA55" i="1"/>
  <c r="AA53" i="1"/>
  <c r="AA57" i="1"/>
  <c r="AA56" i="1"/>
  <c r="AA52" i="1"/>
  <c r="AA54" i="1"/>
  <c r="AA60" i="1"/>
  <c r="AC59" i="1"/>
  <c r="AC55" i="1"/>
  <c r="AC53" i="1"/>
  <c r="AC57" i="1"/>
  <c r="AC56" i="1"/>
  <c r="AC52" i="1"/>
  <c r="AC54" i="1"/>
  <c r="AC60" i="1"/>
  <c r="AD59" i="1"/>
  <c r="AD55" i="1"/>
  <c r="AD53" i="1"/>
  <c r="AD57" i="1"/>
  <c r="AD56" i="1"/>
  <c r="AD52" i="1"/>
  <c r="AD54" i="1"/>
  <c r="AD60" i="1"/>
  <c r="E2" i="1"/>
  <c r="B1" i="2"/>
  <c r="X30" i="1"/>
  <c r="AD30" i="1"/>
  <c r="AD2" i="1"/>
  <c r="AD3" i="1"/>
  <c r="AD4" i="1"/>
  <c r="AD5" i="1"/>
  <c r="AD6" i="1"/>
  <c r="AD7" i="1"/>
  <c r="AD8" i="1"/>
  <c r="AD9" i="1"/>
  <c r="AD10" i="1"/>
  <c r="AD11" i="1"/>
  <c r="AD12" i="1"/>
  <c r="AD13" i="1"/>
  <c r="AD14" i="1"/>
  <c r="AD15" i="1"/>
  <c r="AD16" i="1"/>
  <c r="AD17" i="1"/>
  <c r="AD18" i="1"/>
  <c r="AD19" i="1"/>
  <c r="AD20" i="1"/>
  <c r="AD21" i="1"/>
  <c r="AD22" i="1"/>
  <c r="AD23" i="1"/>
  <c r="AD25" i="1"/>
  <c r="AD26" i="1"/>
  <c r="AD27" i="1"/>
  <c r="AD28" i="1"/>
  <c r="AD29" i="1"/>
  <c r="AD31" i="1"/>
  <c r="AD32" i="1"/>
  <c r="AD33" i="1"/>
  <c r="AD34" i="1"/>
  <c r="AD35" i="1"/>
  <c r="AD36" i="1"/>
  <c r="AD37" i="1"/>
  <c r="AD38" i="1"/>
  <c r="AD39" i="1"/>
  <c r="AD40" i="1"/>
  <c r="AD41" i="1"/>
  <c r="AD42" i="1"/>
  <c r="AD43" i="1"/>
  <c r="AD44" i="1"/>
  <c r="AD45" i="1"/>
  <c r="AD46" i="1"/>
  <c r="AD47" i="1"/>
  <c r="AD48" i="1"/>
  <c r="AD49" i="1"/>
  <c r="AD50" i="1"/>
  <c r="AD51" i="1"/>
  <c r="AD24" i="1"/>
  <c r="X39" i="1"/>
  <c r="X7" i="1"/>
  <c r="X6" i="1"/>
  <c r="B24" i="1"/>
  <c r="AA24" i="1"/>
  <c r="AC24" i="1"/>
  <c r="B2" i="2" l="1"/>
  <c r="I1" i="2" s="1"/>
  <c r="F2" i="1"/>
  <c r="T2" i="1" s="1"/>
  <c r="L55" i="2"/>
  <c r="L51" i="2"/>
  <c r="M51" i="2"/>
  <c r="O55" i="2"/>
  <c r="L54" i="2"/>
  <c r="M55" i="2"/>
  <c r="N51" i="2"/>
  <c r="L56" i="2"/>
  <c r="O56" i="2"/>
  <c r="L53" i="2"/>
  <c r="O51" i="2"/>
  <c r="M56" i="2"/>
  <c r="N57" i="2"/>
  <c r="L52" i="2"/>
  <c r="N56" i="2"/>
  <c r="L57" i="2"/>
  <c r="O54" i="2"/>
  <c r="M52" i="2"/>
  <c r="M57" i="2"/>
  <c r="M54" i="2"/>
  <c r="N55" i="2"/>
  <c r="N52" i="2"/>
  <c r="O52" i="2"/>
  <c r="M53" i="2"/>
  <c r="O57" i="2"/>
  <c r="N54" i="2"/>
  <c r="N53" i="2"/>
  <c r="O53" i="2"/>
  <c r="N29" i="2"/>
  <c r="N45" i="2"/>
  <c r="L39" i="2"/>
  <c r="N30" i="2"/>
  <c r="N46" i="2"/>
  <c r="L40" i="2"/>
  <c r="N31" i="2"/>
  <c r="N47" i="2"/>
  <c r="L41" i="2"/>
  <c r="N32" i="2"/>
  <c r="N48" i="2"/>
  <c r="L42" i="2"/>
  <c r="N33" i="2"/>
  <c r="N49" i="2"/>
  <c r="L43" i="2"/>
  <c r="N34" i="2"/>
  <c r="N50" i="2"/>
  <c r="L44" i="2"/>
  <c r="N35" i="2"/>
  <c r="L29" i="2"/>
  <c r="L45" i="2"/>
  <c r="N36" i="2"/>
  <c r="L30" i="2"/>
  <c r="L46" i="2"/>
  <c r="N37" i="2"/>
  <c r="L31" i="2"/>
  <c r="L47" i="2"/>
  <c r="N38" i="2"/>
  <c r="L32" i="2"/>
  <c r="L48" i="2"/>
  <c r="N39" i="2"/>
  <c r="L33" i="2"/>
  <c r="L49" i="2"/>
  <c r="N40" i="2"/>
  <c r="L34" i="2"/>
  <c r="L50" i="2"/>
  <c r="N41" i="2"/>
  <c r="L35" i="2"/>
  <c r="N42" i="2"/>
  <c r="L36" i="2"/>
  <c r="N43" i="2"/>
  <c r="L37" i="2"/>
  <c r="N44" i="2"/>
  <c r="L38" i="2"/>
  <c r="O47" i="2"/>
  <c r="M43" i="2"/>
  <c r="O43" i="2"/>
  <c r="M48" i="2"/>
  <c r="M44" i="2"/>
  <c r="O48" i="2"/>
  <c r="O44" i="2"/>
  <c r="M49" i="2"/>
  <c r="M45" i="2"/>
  <c r="O49" i="2"/>
  <c r="O45" i="2"/>
  <c r="M50" i="2"/>
  <c r="M46" i="2"/>
  <c r="O50" i="2"/>
  <c r="O46" i="2"/>
  <c r="M47" i="2"/>
  <c r="M41" i="2"/>
  <c r="O41" i="2"/>
  <c r="M42" i="2"/>
  <c r="O42" i="2"/>
  <c r="X5" i="1"/>
  <c r="M40" i="2"/>
  <c r="O40" i="2"/>
  <c r="M39" i="2"/>
  <c r="O39" i="2"/>
  <c r="M38" i="2"/>
  <c r="O38" i="2"/>
  <c r="M37" i="2"/>
  <c r="O37" i="2"/>
  <c r="O30" i="2"/>
  <c r="M30" i="2"/>
  <c r="O31" i="2"/>
  <c r="M31" i="2"/>
  <c r="O33" i="2"/>
  <c r="O32" i="2"/>
  <c r="M32" i="2"/>
  <c r="M33" i="2"/>
  <c r="O34" i="2"/>
  <c r="M34" i="2"/>
  <c r="O36" i="2"/>
  <c r="M36" i="2"/>
  <c r="O35" i="2"/>
  <c r="M35" i="2"/>
  <c r="O29" i="2"/>
  <c r="M29" i="2"/>
  <c r="P52" i="2" l="1"/>
  <c r="E29" i="27" s="1"/>
  <c r="P51" i="2"/>
  <c r="E28" i="27" s="1"/>
  <c r="P57" i="2"/>
  <c r="E34" i="27" s="1"/>
  <c r="Q56" i="2"/>
  <c r="F33" i="27" s="1"/>
  <c r="P53" i="2"/>
  <c r="E30" i="27" s="1"/>
  <c r="P56" i="2"/>
  <c r="E33" i="27" s="1"/>
  <c r="Q53" i="2"/>
  <c r="F30" i="27" s="1"/>
  <c r="Q55" i="2"/>
  <c r="F32" i="27" s="1"/>
  <c r="P54" i="2"/>
  <c r="E31" i="27" s="1"/>
  <c r="Q51" i="2"/>
  <c r="F28" i="27" s="1"/>
  <c r="Q54" i="2"/>
  <c r="F31" i="27" s="1"/>
  <c r="Q57" i="2"/>
  <c r="F34" i="27" s="1"/>
  <c r="P55" i="2"/>
  <c r="E32" i="27" s="1"/>
  <c r="Q52" i="2"/>
  <c r="F29" i="27" s="1"/>
  <c r="P31" i="2"/>
  <c r="E8" i="27" s="1"/>
  <c r="Q37" i="2"/>
  <c r="F14" i="27" s="1"/>
  <c r="P35" i="2"/>
  <c r="E12" i="27" s="1"/>
  <c r="Q29" i="2"/>
  <c r="F6" i="27" s="1"/>
  <c r="Q33" i="2"/>
  <c r="F10" i="27" s="1"/>
  <c r="P47" i="2"/>
  <c r="E24" i="27" s="1"/>
  <c r="Q49" i="2"/>
  <c r="F26" i="27" s="1"/>
  <c r="P39" i="2"/>
  <c r="E16" i="27" s="1"/>
  <c r="Q43" i="2"/>
  <c r="F20" i="27" s="1"/>
  <c r="P34" i="2"/>
  <c r="E11" i="27" s="1"/>
  <c r="Q39" i="2"/>
  <c r="F16" i="27" s="1"/>
  <c r="Q47" i="2"/>
  <c r="F24" i="27" s="1"/>
  <c r="P33" i="2"/>
  <c r="E10" i="27" s="1"/>
  <c r="P29" i="2"/>
  <c r="E6" i="27" s="1"/>
  <c r="Q32" i="2"/>
  <c r="F9" i="27" s="1"/>
  <c r="Q41" i="2"/>
  <c r="F18" i="27" s="1"/>
  <c r="P50" i="2"/>
  <c r="E27" i="27" s="1"/>
  <c r="P38" i="2"/>
  <c r="E15" i="27" s="1"/>
  <c r="Q46" i="2"/>
  <c r="F23" i="27" s="1"/>
  <c r="P32" i="2"/>
  <c r="E9" i="27" s="1"/>
  <c r="Q48" i="2"/>
  <c r="F25" i="27" s="1"/>
  <c r="Q40" i="2"/>
  <c r="F17" i="27" s="1"/>
  <c r="P42" i="2"/>
  <c r="E19" i="27" s="1"/>
  <c r="P41" i="2"/>
  <c r="E18" i="27" s="1"/>
  <c r="P36" i="2"/>
  <c r="E13" i="27" s="1"/>
  <c r="P30" i="2"/>
  <c r="E7" i="27" s="1"/>
  <c r="Q45" i="2"/>
  <c r="F22" i="27" s="1"/>
  <c r="Q36" i="2"/>
  <c r="F13" i="27" s="1"/>
  <c r="Q30" i="2"/>
  <c r="F7" i="27" s="1"/>
  <c r="P45" i="2"/>
  <c r="E22" i="27" s="1"/>
  <c r="P37" i="2"/>
  <c r="E14" i="27" s="1"/>
  <c r="Q34" i="2"/>
  <c r="F11" i="27" s="1"/>
  <c r="Q38" i="2"/>
  <c r="F15" i="27" s="1"/>
  <c r="Q44" i="2"/>
  <c r="F21" i="27" s="1"/>
  <c r="P44" i="2"/>
  <c r="E21" i="27" s="1"/>
  <c r="Q42" i="2"/>
  <c r="F19" i="27" s="1"/>
  <c r="P46" i="2"/>
  <c r="E23" i="27" s="1"/>
  <c r="P40" i="2"/>
  <c r="E17" i="27" s="1"/>
  <c r="Q50" i="2"/>
  <c r="F27" i="27" s="1"/>
  <c r="P48" i="2"/>
  <c r="E25" i="27" s="1"/>
  <c r="Q31" i="2"/>
  <c r="F8" i="27" s="1"/>
  <c r="P49" i="2"/>
  <c r="E26" i="27" s="1"/>
  <c r="P43" i="2"/>
  <c r="E20" i="27" s="1"/>
  <c r="Q35" i="2"/>
  <c r="F12" i="27" s="1"/>
  <c r="R14" i="1" a="1"/>
  <c r="R14" i="1" s="1"/>
  <c r="X41" i="1"/>
  <c r="X43" i="1"/>
  <c r="X47" i="1"/>
  <c r="B41" i="1"/>
  <c r="B42" i="1"/>
  <c r="B43" i="1"/>
  <c r="B44" i="1"/>
  <c r="B45" i="1"/>
  <c r="B46" i="1"/>
  <c r="B47" i="1"/>
  <c r="B48" i="1"/>
  <c r="B49" i="1"/>
  <c r="B50" i="1"/>
  <c r="B51" i="1"/>
  <c r="X44" i="1"/>
  <c r="X45" i="1"/>
  <c r="X46" i="1"/>
  <c r="X48" i="1"/>
  <c r="X49" i="1"/>
  <c r="F5" i="2"/>
  <c r="F6" i="2"/>
  <c r="F7" i="2"/>
  <c r="F8" i="2"/>
  <c r="F9" i="2"/>
  <c r="F10" i="2"/>
  <c r="F11" i="2"/>
  <c r="F12" i="2"/>
  <c r="F13" i="2"/>
  <c r="F14" i="2"/>
  <c r="F16" i="2"/>
  <c r="F17" i="2"/>
  <c r="F18" i="2"/>
  <c r="F19" i="2"/>
  <c r="F20" i="2"/>
  <c r="F21" i="2"/>
  <c r="F22" i="2"/>
  <c r="F23" i="2"/>
  <c r="F24" i="2"/>
  <c r="F25" i="2"/>
  <c r="F26" i="2"/>
  <c r="F27" i="2"/>
  <c r="F28" i="2"/>
  <c r="F29" i="2"/>
  <c r="F30" i="2"/>
  <c r="F31" i="2"/>
  <c r="F32" i="2"/>
  <c r="F33" i="2"/>
  <c r="F34" i="2"/>
  <c r="F35" i="2"/>
  <c r="F36" i="2"/>
  <c r="F37" i="2"/>
  <c r="F38" i="2"/>
  <c r="F39" i="2"/>
  <c r="F40" i="2"/>
  <c r="F41" i="2"/>
  <c r="F42" i="2"/>
  <c r="F43" i="2"/>
  <c r="F44" i="2"/>
  <c r="F45" i="2"/>
  <c r="F46" i="2"/>
  <c r="F47" i="2"/>
  <c r="F48" i="2"/>
  <c r="F49" i="2"/>
  <c r="F50" i="2"/>
  <c r="F51" i="2"/>
  <c r="F52" i="2"/>
  <c r="F53" i="2"/>
  <c r="F54" i="2"/>
  <c r="F55" i="2"/>
  <c r="F56" i="2"/>
  <c r="F57" i="2"/>
  <c r="F58" i="2"/>
  <c r="F59" i="2"/>
  <c r="F60" i="2"/>
  <c r="F61" i="2"/>
  <c r="F62" i="2"/>
  <c r="F63" i="2"/>
  <c r="F64" i="2"/>
  <c r="F65" i="2"/>
  <c r="F66" i="2"/>
  <c r="F67" i="2"/>
  <c r="F68" i="2"/>
  <c r="F69" i="2"/>
  <c r="F70" i="2"/>
  <c r="F71" i="2"/>
  <c r="F72" i="2"/>
  <c r="F73" i="2"/>
  <c r="F74" i="2"/>
  <c r="F75" i="2"/>
  <c r="F76" i="2"/>
  <c r="F77" i="2"/>
  <c r="F78" i="2"/>
  <c r="F79" i="2"/>
  <c r="F80" i="2"/>
  <c r="F81" i="2"/>
  <c r="F82" i="2"/>
  <c r="F83" i="2"/>
  <c r="F84" i="2"/>
  <c r="F85" i="2"/>
  <c r="F86" i="2"/>
  <c r="F87" i="2"/>
  <c r="F88" i="2"/>
  <c r="F89" i="2"/>
  <c r="F90" i="2"/>
  <c r="F91" i="2"/>
  <c r="F92" i="2"/>
  <c r="F93" i="2"/>
  <c r="F94" i="2"/>
  <c r="F95" i="2"/>
  <c r="F96" i="2"/>
  <c r="F97" i="2"/>
  <c r="F98" i="2"/>
  <c r="F99" i="2"/>
  <c r="F100" i="2"/>
  <c r="F101" i="2"/>
  <c r="F102" i="2"/>
  <c r="F103" i="2"/>
  <c r="F104" i="2"/>
  <c r="F105" i="2"/>
  <c r="F106" i="2"/>
  <c r="F107" i="2"/>
  <c r="F108" i="2"/>
  <c r="F109" i="2"/>
  <c r="F110" i="2"/>
  <c r="F111" i="2"/>
  <c r="F112" i="2"/>
  <c r="F113" i="2"/>
  <c r="F114" i="2"/>
  <c r="F115" i="2"/>
  <c r="F116" i="2"/>
  <c r="F117" i="2"/>
  <c r="F118" i="2"/>
  <c r="F119" i="2"/>
  <c r="F120" i="2"/>
  <c r="F121" i="2"/>
  <c r="F122" i="2"/>
  <c r="F123" i="2"/>
  <c r="F124" i="2"/>
  <c r="F125" i="2"/>
  <c r="F126" i="2"/>
  <c r="F127" i="2"/>
  <c r="F128" i="2"/>
  <c r="F129" i="2"/>
  <c r="F130" i="2"/>
  <c r="F131" i="2"/>
  <c r="F132" i="2"/>
  <c r="F133" i="2"/>
  <c r="F134" i="2"/>
  <c r="F135" i="2"/>
  <c r="F136" i="2"/>
  <c r="F137" i="2"/>
  <c r="F138" i="2"/>
  <c r="F139" i="2"/>
  <c r="F140" i="2"/>
  <c r="F141" i="2"/>
  <c r="F142" i="2"/>
  <c r="F143" i="2"/>
  <c r="F144" i="2"/>
  <c r="F145" i="2"/>
  <c r="F146" i="2"/>
  <c r="F147" i="2"/>
  <c r="F148" i="2"/>
  <c r="F149" i="2"/>
  <c r="F150" i="2"/>
  <c r="F151" i="2"/>
  <c r="F152" i="2"/>
  <c r="F153" i="2"/>
  <c r="F154" i="2"/>
  <c r="F155" i="2"/>
  <c r="F156" i="2"/>
  <c r="F157" i="2"/>
  <c r="F158" i="2"/>
  <c r="F159" i="2"/>
  <c r="F160" i="2"/>
  <c r="F161" i="2"/>
  <c r="F162" i="2"/>
  <c r="F163" i="2"/>
  <c r="F164" i="2"/>
  <c r="F165" i="2"/>
  <c r="F166" i="2"/>
  <c r="F167" i="2"/>
  <c r="F168" i="2"/>
  <c r="F169" i="2"/>
  <c r="F170" i="2"/>
  <c r="F171" i="2"/>
  <c r="F172" i="2"/>
  <c r="F173" i="2"/>
  <c r="F174" i="2"/>
  <c r="F175" i="2"/>
  <c r="F176" i="2"/>
  <c r="F177" i="2"/>
  <c r="F178" i="2"/>
  <c r="F179" i="2"/>
  <c r="F180" i="2"/>
  <c r="F181" i="2"/>
  <c r="F182" i="2"/>
  <c r="F183" i="2"/>
  <c r="F184" i="2"/>
  <c r="F185" i="2"/>
  <c r="F186" i="2"/>
  <c r="F187" i="2"/>
  <c r="F188" i="2"/>
  <c r="F189" i="2"/>
  <c r="F190" i="2"/>
  <c r="F191" i="2"/>
  <c r="F192" i="2"/>
  <c r="F193" i="2"/>
  <c r="F194" i="2"/>
  <c r="F195" i="2"/>
  <c r="F196" i="2"/>
  <c r="F197" i="2"/>
  <c r="F198" i="2"/>
  <c r="F199" i="2"/>
  <c r="F200" i="2"/>
  <c r="F201" i="2"/>
  <c r="F202" i="2"/>
  <c r="F203" i="2"/>
  <c r="F204" i="2"/>
  <c r="F205" i="2"/>
  <c r="E64" i="2"/>
  <c r="E65" i="2"/>
  <c r="E66" i="2"/>
  <c r="E67" i="2"/>
  <c r="E68" i="2"/>
  <c r="E69" i="2"/>
  <c r="E70" i="2"/>
  <c r="E71" i="2"/>
  <c r="E72" i="2"/>
  <c r="E73" i="2"/>
  <c r="E74" i="2"/>
  <c r="E75" i="2"/>
  <c r="E76" i="2"/>
  <c r="E77" i="2"/>
  <c r="E78" i="2"/>
  <c r="E79" i="2"/>
  <c r="E80" i="2"/>
  <c r="E81" i="2"/>
  <c r="E82" i="2"/>
  <c r="E83" i="2"/>
  <c r="E84" i="2"/>
  <c r="E85" i="2"/>
  <c r="E86" i="2"/>
  <c r="E87" i="2"/>
  <c r="E88" i="2"/>
  <c r="E89" i="2"/>
  <c r="E90" i="2"/>
  <c r="E91" i="2"/>
  <c r="E92" i="2"/>
  <c r="E93" i="2"/>
  <c r="E94" i="2"/>
  <c r="E95" i="2"/>
  <c r="E96" i="2"/>
  <c r="E97" i="2"/>
  <c r="E98" i="2"/>
  <c r="E99" i="2"/>
  <c r="E100" i="2"/>
  <c r="E101" i="2"/>
  <c r="E102" i="2"/>
  <c r="E103" i="2"/>
  <c r="E104" i="2"/>
  <c r="E105" i="2"/>
  <c r="E106" i="2"/>
  <c r="E107" i="2"/>
  <c r="E108" i="2"/>
  <c r="E109" i="2"/>
  <c r="E110" i="2"/>
  <c r="E111" i="2"/>
  <c r="E112" i="2"/>
  <c r="E113" i="2"/>
  <c r="E114" i="2"/>
  <c r="E115" i="2"/>
  <c r="E116" i="2"/>
  <c r="E117" i="2"/>
  <c r="E118" i="2"/>
  <c r="E119" i="2"/>
  <c r="E120" i="2"/>
  <c r="E121" i="2"/>
  <c r="E122" i="2"/>
  <c r="E123" i="2"/>
  <c r="E124" i="2"/>
  <c r="E125" i="2"/>
  <c r="E126" i="2"/>
  <c r="E127" i="2"/>
  <c r="E128" i="2"/>
  <c r="E129" i="2"/>
  <c r="E130" i="2"/>
  <c r="E131" i="2"/>
  <c r="E132" i="2"/>
  <c r="E133" i="2"/>
  <c r="E134" i="2"/>
  <c r="E135" i="2"/>
  <c r="E136" i="2"/>
  <c r="E137" i="2"/>
  <c r="E138" i="2"/>
  <c r="E139" i="2"/>
  <c r="E140" i="2"/>
  <c r="E141" i="2"/>
  <c r="E142" i="2"/>
  <c r="E143" i="2"/>
  <c r="E144" i="2"/>
  <c r="E145" i="2"/>
  <c r="E146" i="2"/>
  <c r="E147" i="2"/>
  <c r="E148" i="2"/>
  <c r="E149" i="2"/>
  <c r="E150" i="2"/>
  <c r="E151" i="2"/>
  <c r="E152" i="2"/>
  <c r="E153" i="2"/>
  <c r="E154" i="2"/>
  <c r="E155" i="2"/>
  <c r="E156" i="2"/>
  <c r="E157" i="2"/>
  <c r="E158" i="2"/>
  <c r="E159" i="2"/>
  <c r="E160" i="2"/>
  <c r="E161" i="2"/>
  <c r="E162" i="2"/>
  <c r="E163" i="2"/>
  <c r="E164" i="2"/>
  <c r="E165" i="2"/>
  <c r="E166" i="2"/>
  <c r="E167" i="2"/>
  <c r="E168" i="2"/>
  <c r="E169" i="2"/>
  <c r="E170" i="2"/>
  <c r="E171" i="2"/>
  <c r="E172" i="2"/>
  <c r="E173" i="2"/>
  <c r="E174" i="2"/>
  <c r="E175" i="2"/>
  <c r="E176" i="2"/>
  <c r="E177" i="2"/>
  <c r="E178" i="2"/>
  <c r="E179" i="2"/>
  <c r="E180" i="2"/>
  <c r="E181" i="2"/>
  <c r="E182" i="2"/>
  <c r="E183" i="2"/>
  <c r="E184" i="2"/>
  <c r="E185" i="2"/>
  <c r="E186" i="2"/>
  <c r="E187" i="2"/>
  <c r="E188" i="2"/>
  <c r="E189" i="2"/>
  <c r="E190" i="2"/>
  <c r="E191" i="2"/>
  <c r="E192" i="2"/>
  <c r="E193" i="2"/>
  <c r="E194" i="2"/>
  <c r="E195" i="2"/>
  <c r="E196" i="2"/>
  <c r="E197" i="2"/>
  <c r="E198" i="2"/>
  <c r="E199" i="2"/>
  <c r="E200" i="2"/>
  <c r="E201" i="2"/>
  <c r="E202" i="2"/>
  <c r="E203" i="2"/>
  <c r="E204" i="2"/>
  <c r="E205" i="2"/>
  <c r="D49" i="49" l="1"/>
  <c r="D41" i="49"/>
  <c r="D57" i="49"/>
  <c r="D58" i="49"/>
  <c r="D38" i="49"/>
  <c r="D53" i="49"/>
  <c r="D56" i="49"/>
  <c r="D54" i="49"/>
  <c r="D46" i="49"/>
  <c r="D47" i="49"/>
  <c r="D51" i="49"/>
  <c r="D40" i="49"/>
  <c r="D55" i="49"/>
  <c r="D52" i="49"/>
  <c r="D42" i="49"/>
  <c r="D50" i="49"/>
  <c r="D43" i="49"/>
  <c r="D44" i="49"/>
  <c r="F5" i="49"/>
  <c r="D5" i="49" s="1"/>
  <c r="D45" i="49" s="1"/>
  <c r="D48" i="49"/>
  <c r="D39" i="49"/>
  <c r="X50" i="1"/>
  <c r="Q7" i="2"/>
  <c r="M8" i="2"/>
  <c r="M14" i="2"/>
  <c r="Q8" i="2"/>
  <c r="Q14" i="2"/>
  <c r="Q13" i="2"/>
  <c r="Q20" i="2"/>
  <c r="Q19" i="2"/>
  <c r="M20" i="2"/>
  <c r="M19" i="2"/>
  <c r="M13" i="2"/>
  <c r="M7" i="2"/>
  <c r="B39" i="1"/>
  <c r="B40" i="1"/>
  <c r="F4" i="2"/>
  <c r="C2" i="2"/>
  <c r="E2" i="2" s="1"/>
  <c r="E4" i="2"/>
  <c r="E5" i="2"/>
  <c r="E6" i="2"/>
  <c r="E7" i="2"/>
  <c r="E8" i="2"/>
  <c r="E9" i="2"/>
  <c r="E10" i="2"/>
  <c r="E11" i="2"/>
  <c r="E12" i="2"/>
  <c r="E13" i="2"/>
  <c r="E14" i="2"/>
  <c r="E15" i="2"/>
  <c r="E16" i="2"/>
  <c r="E17" i="2"/>
  <c r="E18" i="2"/>
  <c r="E19" i="2"/>
  <c r="E20" i="2"/>
  <c r="E21" i="2"/>
  <c r="E22" i="2"/>
  <c r="E23" i="2"/>
  <c r="E24" i="2"/>
  <c r="E25" i="2"/>
  <c r="E26" i="2"/>
  <c r="E27" i="2"/>
  <c r="E28" i="2"/>
  <c r="E29" i="2"/>
  <c r="E30" i="2"/>
  <c r="E31" i="2"/>
  <c r="E32" i="2"/>
  <c r="E33" i="2"/>
  <c r="E34" i="2"/>
  <c r="E35" i="2"/>
  <c r="E36" i="2"/>
  <c r="E37" i="2"/>
  <c r="E38" i="2"/>
  <c r="E39" i="2"/>
  <c r="E40" i="2"/>
  <c r="E41" i="2"/>
  <c r="E42" i="2"/>
  <c r="E43" i="2"/>
  <c r="E44" i="2"/>
  <c r="E45" i="2"/>
  <c r="E46" i="2"/>
  <c r="E47" i="2"/>
  <c r="E48" i="2"/>
  <c r="E49" i="2"/>
  <c r="E50" i="2"/>
  <c r="E51" i="2"/>
  <c r="E52" i="2"/>
  <c r="E53" i="2"/>
  <c r="E54" i="2"/>
  <c r="E55" i="2"/>
  <c r="E56" i="2"/>
  <c r="E57" i="2"/>
  <c r="E58" i="2"/>
  <c r="E59" i="2"/>
  <c r="E60" i="2"/>
  <c r="E61" i="2"/>
  <c r="E62" i="2"/>
  <c r="E63" i="2"/>
  <c r="C32" i="27" l="1"/>
  <c r="D32" i="27"/>
  <c r="C33" i="27"/>
  <c r="D33" i="27"/>
  <c r="C34" i="27"/>
  <c r="G34" i="27" s="1"/>
  <c r="D34" i="27"/>
  <c r="J34" i="27" s="1"/>
  <c r="C35" i="27"/>
  <c r="G35" i="27" s="1"/>
  <c r="D35" i="27"/>
  <c r="J35" i="27" s="1"/>
  <c r="C36" i="27"/>
  <c r="G36" i="27" s="1"/>
  <c r="D36" i="27"/>
  <c r="J36" i="27" s="1"/>
  <c r="C31" i="27"/>
  <c r="D31" i="27"/>
  <c r="D24" i="27"/>
  <c r="D25" i="27"/>
  <c r="D26" i="27"/>
  <c r="D27" i="27"/>
  <c r="D28" i="27"/>
  <c r="D29" i="27"/>
  <c r="D30" i="27"/>
  <c r="C22" i="27"/>
  <c r="C23" i="27"/>
  <c r="C24" i="27"/>
  <c r="C25" i="27"/>
  <c r="C26" i="27"/>
  <c r="C27" i="27"/>
  <c r="C28" i="27"/>
  <c r="C29" i="27"/>
  <c r="C30" i="27"/>
  <c r="D22" i="27"/>
  <c r="D23" i="27"/>
  <c r="C21" i="27"/>
  <c r="D21" i="27"/>
  <c r="C13" i="27"/>
  <c r="C16" i="27"/>
  <c r="C19" i="27"/>
  <c r="D13" i="27"/>
  <c r="D16" i="27"/>
  <c r="D19" i="27"/>
  <c r="C8" i="27"/>
  <c r="C11" i="27"/>
  <c r="D7" i="27"/>
  <c r="D10" i="27"/>
  <c r="C14" i="27"/>
  <c r="C17" i="27"/>
  <c r="C20" i="27"/>
  <c r="D14" i="27"/>
  <c r="D17" i="27"/>
  <c r="D20" i="27"/>
  <c r="C9" i="27"/>
  <c r="D8" i="27"/>
  <c r="D11" i="27"/>
  <c r="C12" i="27"/>
  <c r="C15" i="27"/>
  <c r="C18" i="27"/>
  <c r="D12" i="27"/>
  <c r="D15" i="27"/>
  <c r="D18" i="27"/>
  <c r="C7" i="27"/>
  <c r="C10" i="27"/>
  <c r="D9" i="27"/>
  <c r="M18" i="2"/>
  <c r="Q6" i="2"/>
  <c r="M6" i="2"/>
  <c r="Q11" i="2"/>
  <c r="M11" i="2"/>
  <c r="M5" i="2"/>
  <c r="U8" i="2"/>
  <c r="U19" i="2"/>
  <c r="U20" i="2"/>
  <c r="U13" i="2"/>
  <c r="U14" i="2"/>
  <c r="U7" i="2"/>
  <c r="F2" i="2"/>
  <c r="G2" i="2"/>
  <c r="Q18" i="2"/>
  <c r="Q17" i="2"/>
  <c r="M12" i="2"/>
  <c r="M17" i="2"/>
  <c r="Q5" i="2"/>
  <c r="Q12" i="2"/>
  <c r="R21" i="1"/>
  <c r="R23" i="1"/>
  <c r="R29" i="1"/>
  <c r="R38" i="1"/>
  <c r="R18" i="1"/>
  <c r="R36" i="1"/>
  <c r="R35" i="1"/>
  <c r="R37" i="1"/>
  <c r="R11" i="1"/>
  <c r="R30" i="1"/>
  <c r="L32" i="27" l="1"/>
  <c r="L35" i="27"/>
  <c r="J31" i="27"/>
  <c r="K34" i="27"/>
  <c r="G31" i="27"/>
  <c r="H34" i="27"/>
  <c r="J33" i="27"/>
  <c r="K36" i="27"/>
  <c r="H36" i="27"/>
  <c r="G33" i="27"/>
  <c r="J32" i="27"/>
  <c r="K35" i="27"/>
  <c r="G32" i="27"/>
  <c r="H35" i="27"/>
  <c r="G28" i="27"/>
  <c r="H31" i="27"/>
  <c r="L34" i="27"/>
  <c r="G30" i="27"/>
  <c r="H33" i="27"/>
  <c r="I35" i="27"/>
  <c r="L31" i="27"/>
  <c r="I34" i="27"/>
  <c r="I36" i="27"/>
  <c r="J30" i="27"/>
  <c r="K33" i="27"/>
  <c r="I32" i="27"/>
  <c r="J29" i="27"/>
  <c r="K32" i="27"/>
  <c r="I31" i="27"/>
  <c r="J28" i="27"/>
  <c r="K31" i="27"/>
  <c r="G29" i="27"/>
  <c r="H32" i="27"/>
  <c r="L33" i="27"/>
  <c r="I33" i="27"/>
  <c r="L36" i="27"/>
  <c r="H23" i="27"/>
  <c r="I22" i="27"/>
  <c r="K26" i="27"/>
  <c r="J23" i="27"/>
  <c r="L29" i="27"/>
  <c r="K25" i="27"/>
  <c r="J22" i="27"/>
  <c r="J20" i="27"/>
  <c r="K23" i="27"/>
  <c r="L26" i="27"/>
  <c r="I26" i="27"/>
  <c r="G27" i="27"/>
  <c r="H30" i="27"/>
  <c r="I29" i="27"/>
  <c r="L22" i="27"/>
  <c r="G26" i="27"/>
  <c r="H29" i="27"/>
  <c r="G25" i="27"/>
  <c r="H28" i="27"/>
  <c r="G24" i="27"/>
  <c r="H27" i="27"/>
  <c r="I23" i="27"/>
  <c r="L30" i="27"/>
  <c r="G23" i="27"/>
  <c r="H26" i="27"/>
  <c r="L27" i="27"/>
  <c r="J19" i="27"/>
  <c r="K22" i="27"/>
  <c r="H25" i="27"/>
  <c r="G22" i="27"/>
  <c r="L24" i="27"/>
  <c r="L28" i="27"/>
  <c r="I30" i="27"/>
  <c r="L25" i="27"/>
  <c r="I27" i="27"/>
  <c r="H22" i="27"/>
  <c r="I24" i="27"/>
  <c r="I28" i="27"/>
  <c r="K30" i="27"/>
  <c r="J27" i="27"/>
  <c r="L23" i="27"/>
  <c r="I25" i="27"/>
  <c r="J26" i="27"/>
  <c r="K29" i="27"/>
  <c r="J21" i="27"/>
  <c r="K24" i="27"/>
  <c r="K28" i="27"/>
  <c r="J25" i="27"/>
  <c r="H24" i="27"/>
  <c r="K27" i="27"/>
  <c r="J24" i="27"/>
  <c r="G20" i="27"/>
  <c r="G19" i="27"/>
  <c r="G21" i="27"/>
  <c r="G7" i="27"/>
  <c r="I19" i="27"/>
  <c r="H10" i="27"/>
  <c r="G18" i="27"/>
  <c r="H21" i="27"/>
  <c r="L20" i="27"/>
  <c r="K11" i="27"/>
  <c r="J8" i="27"/>
  <c r="K17" i="27"/>
  <c r="J14" i="27"/>
  <c r="J10" i="27"/>
  <c r="K13" i="27"/>
  <c r="G16" i="27"/>
  <c r="H19" i="27"/>
  <c r="J18" i="27"/>
  <c r="K21" i="27"/>
  <c r="G15" i="27"/>
  <c r="H18" i="27"/>
  <c r="I21" i="27"/>
  <c r="H12" i="27"/>
  <c r="G9" i="27"/>
  <c r="K10" i="27"/>
  <c r="L19" i="27"/>
  <c r="J7" i="27"/>
  <c r="K19" i="27"/>
  <c r="J16" i="27"/>
  <c r="G13" i="27"/>
  <c r="H16" i="27"/>
  <c r="K12" i="27"/>
  <c r="J9" i="27"/>
  <c r="L21" i="27"/>
  <c r="K18" i="27"/>
  <c r="J15" i="27"/>
  <c r="H15" i="27"/>
  <c r="G12" i="27"/>
  <c r="H20" i="27"/>
  <c r="G17" i="27"/>
  <c r="G11" i="27"/>
  <c r="H14" i="27"/>
  <c r="J13" i="27"/>
  <c r="K16" i="27"/>
  <c r="G10" i="27"/>
  <c r="H13" i="27"/>
  <c r="J12" i="27"/>
  <c r="K15" i="27"/>
  <c r="K14" i="27"/>
  <c r="J11" i="27"/>
  <c r="J17" i="27"/>
  <c r="K20" i="27"/>
  <c r="G14" i="27"/>
  <c r="H17" i="27"/>
  <c r="H11" i="27"/>
  <c r="G8" i="27"/>
  <c r="I20" i="27"/>
  <c r="U17" i="2"/>
  <c r="U18" i="2"/>
  <c r="U11" i="2"/>
  <c r="U12" i="2"/>
  <c r="U6" i="2"/>
  <c r="U5" i="2"/>
  <c r="R32" i="1" a="1"/>
  <c r="R32" i="1" s="1"/>
  <c r="X3" i="1"/>
  <c r="R31" i="1" a="1"/>
  <c r="R31" i="1" s="1"/>
  <c r="R27" i="1" a="1"/>
  <c r="R27" i="1" s="1"/>
  <c r="R20" i="1" a="1"/>
  <c r="R20" i="1" s="1"/>
  <c r="R16" i="1" a="1"/>
  <c r="R16" i="1" s="1"/>
  <c r="B34" i="1"/>
  <c r="B26" i="1"/>
  <c r="B30" i="1"/>
  <c r="B13" i="1"/>
  <c r="B7" i="1"/>
  <c r="B4" i="1"/>
  <c r="B11" i="1"/>
  <c r="B6" i="1"/>
  <c r="B33" i="1"/>
  <c r="B16" i="1"/>
  <c r="B25" i="1"/>
  <c r="B37" i="1"/>
  <c r="B20" i="1"/>
  <c r="B27" i="1"/>
  <c r="B8" i="1"/>
  <c r="B12" i="1"/>
  <c r="B31" i="1"/>
  <c r="B35" i="1"/>
  <c r="B36" i="1"/>
  <c r="B18" i="1"/>
  <c r="B38" i="1"/>
  <c r="B29" i="1"/>
  <c r="B23" i="1"/>
  <c r="B21" i="1"/>
  <c r="Q34" i="1" a="1"/>
  <c r="Q34" i="1" s="1"/>
  <c r="R34" i="1" a="1"/>
  <c r="R34" i="1" s="1"/>
  <c r="Q26" i="1" a="1"/>
  <c r="Q26" i="1" s="1"/>
  <c r="R26" i="1" a="1"/>
  <c r="R26" i="1" s="1"/>
  <c r="Q13" i="1" a="1"/>
  <c r="Q13" i="1" s="1"/>
  <c r="R13" i="1" a="1"/>
  <c r="R13" i="1" s="1"/>
  <c r="Q7" i="1" a="1"/>
  <c r="Q7" i="1" s="1"/>
  <c r="R7" i="1" a="1"/>
  <c r="R7" i="1" s="1"/>
  <c r="Q11" i="1" a="1"/>
  <c r="Q11" i="1" s="1"/>
  <c r="Q33" i="1" a="1"/>
  <c r="Q33" i="1" s="1"/>
  <c r="R33" i="1" a="1"/>
  <c r="R33" i="1" s="1"/>
  <c r="Q16" i="1" a="1"/>
  <c r="Q16" i="1" s="1"/>
  <c r="Q25" i="1" a="1"/>
  <c r="Q25" i="1" s="1"/>
  <c r="R25" i="1" a="1"/>
  <c r="R25" i="1" s="1"/>
  <c r="Q37" i="1" a="1"/>
  <c r="Q37" i="1" s="1"/>
  <c r="Q20" i="1" a="1"/>
  <c r="Q20" i="1" s="1"/>
  <c r="Q27" i="1" a="1"/>
  <c r="Q27" i="1" s="1"/>
  <c r="Q8" i="1" a="1"/>
  <c r="Q8" i="1" s="1"/>
  <c r="R8" i="1" a="1"/>
  <c r="R8" i="1" s="1"/>
  <c r="Q12" i="1" a="1"/>
  <c r="Q12" i="1" s="1"/>
  <c r="R12" i="1" a="1"/>
  <c r="R12" i="1" s="1"/>
  <c r="Q31" i="1" a="1"/>
  <c r="Q31" i="1" s="1"/>
  <c r="Q35" i="1" a="1"/>
  <c r="Q35" i="1" s="1"/>
  <c r="Q18" i="1" a="1"/>
  <c r="Q18" i="1" s="1"/>
  <c r="Q23" i="1" a="1"/>
  <c r="Q23" i="1" s="1"/>
  <c r="Q21" i="1" a="1"/>
  <c r="Q21" i="1" s="1"/>
  <c r="X32" i="1"/>
  <c r="X22" i="1"/>
  <c r="X28" i="1"/>
  <c r="X9" i="1"/>
  <c r="X10" i="1"/>
  <c r="X19" i="1"/>
  <c r="X17" i="1"/>
  <c r="X14" i="1"/>
  <c r="X15" i="1"/>
  <c r="X34" i="1"/>
  <c r="X26" i="1"/>
  <c r="X13" i="1"/>
  <c r="X4" i="1"/>
  <c r="X11" i="1"/>
  <c r="X33" i="1"/>
  <c r="X16" i="1"/>
  <c r="X25" i="1"/>
  <c r="X20" i="1"/>
  <c r="X27" i="1"/>
  <c r="X8" i="1"/>
  <c r="X12" i="1"/>
  <c r="X31" i="1"/>
  <c r="X35" i="1"/>
  <c r="X18" i="1"/>
  <c r="X29" i="1"/>
  <c r="X23" i="1"/>
  <c r="X21" i="1"/>
  <c r="B30" i="42"/>
  <c r="B29" i="42"/>
  <c r="B28" i="42"/>
  <c r="B27" i="42"/>
  <c r="B26" i="42"/>
  <c r="B25" i="42"/>
  <c r="B24" i="42"/>
  <c r="B23" i="42"/>
  <c r="B22" i="42"/>
  <c r="B21" i="42"/>
  <c r="B20" i="42"/>
  <c r="B19" i="42"/>
  <c r="B18" i="42"/>
  <c r="B17" i="42"/>
  <c r="B16" i="42"/>
  <c r="B15" i="42"/>
  <c r="B14" i="42"/>
  <c r="B13" i="42"/>
  <c r="B12" i="42"/>
  <c r="B11" i="42"/>
  <c r="B10" i="42"/>
  <c r="B9" i="42"/>
  <c r="B8" i="42"/>
  <c r="B7" i="42"/>
  <c r="B6" i="42"/>
  <c r="B2" i="42"/>
  <c r="L1" i="42"/>
  <c r="K1" i="42"/>
  <c r="I1" i="42"/>
  <c r="H1" i="42"/>
  <c r="F1" i="42"/>
  <c r="E1" i="42"/>
  <c r="D1" i="42"/>
  <c r="C1" i="42"/>
  <c r="B30" i="41"/>
  <c r="B29" i="41"/>
  <c r="B28" i="41"/>
  <c r="B27" i="41"/>
  <c r="B26" i="41"/>
  <c r="B25" i="41"/>
  <c r="B24" i="41"/>
  <c r="B23" i="41"/>
  <c r="B22" i="41"/>
  <c r="B21" i="41"/>
  <c r="B20" i="41"/>
  <c r="B19" i="41"/>
  <c r="B18" i="41"/>
  <c r="B17" i="41"/>
  <c r="B16" i="41"/>
  <c r="B15" i="41"/>
  <c r="B14" i="41"/>
  <c r="B13" i="41"/>
  <c r="B12" i="41"/>
  <c r="B11" i="41"/>
  <c r="B10" i="41"/>
  <c r="B9" i="41"/>
  <c r="B8" i="41"/>
  <c r="B7" i="41"/>
  <c r="B6" i="41"/>
  <c r="B2" i="41"/>
  <c r="L1" i="41"/>
  <c r="K1" i="41"/>
  <c r="I1" i="41"/>
  <c r="H1" i="41"/>
  <c r="F1" i="41"/>
  <c r="E1" i="41"/>
  <c r="D1" i="41"/>
  <c r="C1" i="41"/>
  <c r="B4" i="2"/>
  <c r="B32" i="1"/>
  <c r="R9" i="1" a="1"/>
  <c r="R9" i="1" s="1"/>
  <c r="Q9" i="1" a="1"/>
  <c r="Q9" i="1" s="1"/>
  <c r="B9" i="1"/>
  <c r="X37" i="1" l="1"/>
  <c r="X2" i="1"/>
  <c r="Q30" i="1" a="1"/>
  <c r="Q30" i="1" s="1"/>
  <c r="D24" i="35"/>
  <c r="F24" i="35"/>
  <c r="G24" i="35"/>
  <c r="X24" i="35"/>
  <c r="D59" i="35"/>
  <c r="F59" i="35"/>
  <c r="G59" i="35"/>
  <c r="X59" i="35"/>
  <c r="D29" i="35"/>
  <c r="D50" i="35"/>
  <c r="F29" i="35"/>
  <c r="F50" i="35"/>
  <c r="G29" i="35"/>
  <c r="G50" i="35"/>
  <c r="X29" i="35"/>
  <c r="X50" i="35"/>
  <c r="D19" i="35"/>
  <c r="F19" i="35"/>
  <c r="G19" i="35"/>
  <c r="X19" i="35"/>
  <c r="D54" i="35" l="1"/>
  <c r="F54" i="35"/>
  <c r="G54" i="35"/>
  <c r="B4" i="32"/>
  <c r="AD32" i="32"/>
  <c r="P32" i="32"/>
  <c r="B30" i="11"/>
  <c r="B32" i="32"/>
  <c r="B6" i="27"/>
  <c r="B3" i="1"/>
  <c r="B10" i="1"/>
  <c r="Q10" i="1" a="1"/>
  <c r="Q10" i="1" s="1"/>
  <c r="R10" i="1" a="1"/>
  <c r="R10" i="1" s="1"/>
  <c r="B19" i="1"/>
  <c r="Q19" i="1" a="1"/>
  <c r="Q19" i="1" s="1"/>
  <c r="R19" i="1" a="1"/>
  <c r="R19" i="1" s="1"/>
  <c r="B5" i="1"/>
  <c r="B17" i="1"/>
  <c r="Q17" i="1" a="1"/>
  <c r="Q17" i="1" s="1"/>
  <c r="R17" i="1" a="1"/>
  <c r="R17" i="1" s="1"/>
  <c r="Q14" i="1" a="1"/>
  <c r="Q14" i="1" s="1"/>
  <c r="B14" i="1"/>
  <c r="R15" i="1" a="1"/>
  <c r="R15" i="1" s="1"/>
  <c r="Q15" i="1" a="1"/>
  <c r="Q15" i="1" s="1"/>
  <c r="B15" i="1"/>
  <c r="F30" i="42" l="1"/>
  <c r="F24" i="42"/>
  <c r="F21" i="42"/>
  <c r="F18" i="42"/>
  <c r="E15" i="42"/>
  <c r="F12" i="42"/>
  <c r="E9" i="42"/>
  <c r="E28" i="41"/>
  <c r="E25" i="41"/>
  <c r="E22" i="41"/>
  <c r="F14" i="41"/>
  <c r="F11" i="41"/>
  <c r="E8" i="41"/>
  <c r="E30" i="42"/>
  <c r="F27" i="42"/>
  <c r="E24" i="42"/>
  <c r="E21" i="42"/>
  <c r="E18" i="42"/>
  <c r="E12" i="42"/>
  <c r="F7" i="42"/>
  <c r="F20" i="41"/>
  <c r="F17" i="41"/>
  <c r="E14" i="41"/>
  <c r="E11" i="41"/>
  <c r="F6" i="41"/>
  <c r="E27" i="42"/>
  <c r="F16" i="42"/>
  <c r="F13" i="42"/>
  <c r="F10" i="42"/>
  <c r="E7" i="42"/>
  <c r="F29" i="41"/>
  <c r="F26" i="41"/>
  <c r="F23" i="41"/>
  <c r="E20" i="41"/>
  <c r="E17" i="41"/>
  <c r="F9" i="41"/>
  <c r="E6" i="41"/>
  <c r="F28" i="42"/>
  <c r="F25" i="42"/>
  <c r="F22" i="42"/>
  <c r="F19" i="42"/>
  <c r="E16" i="42"/>
  <c r="E13" i="42"/>
  <c r="E10" i="42"/>
  <c r="E29" i="41"/>
  <c r="E26" i="41"/>
  <c r="E23" i="41"/>
  <c r="F15" i="41"/>
  <c r="F12" i="41"/>
  <c r="E9" i="41"/>
  <c r="E28" i="42"/>
  <c r="E25" i="42"/>
  <c r="E22" i="42"/>
  <c r="E19" i="42"/>
  <c r="F8" i="42"/>
  <c r="F21" i="41"/>
  <c r="F18" i="41"/>
  <c r="E15" i="41"/>
  <c r="E12" i="41"/>
  <c r="F7" i="41"/>
  <c r="F23" i="42"/>
  <c r="F20" i="42"/>
  <c r="F17" i="42"/>
  <c r="F14" i="42"/>
  <c r="F11" i="42"/>
  <c r="E8" i="42"/>
  <c r="F30" i="41"/>
  <c r="F27" i="41"/>
  <c r="F24" i="41"/>
  <c r="E21" i="41"/>
  <c r="E18" i="41"/>
  <c r="F13" i="41"/>
  <c r="F10" i="41"/>
  <c r="E7" i="41"/>
  <c r="F29" i="42"/>
  <c r="F26" i="42"/>
  <c r="E23" i="42"/>
  <c r="E20" i="42"/>
  <c r="E17" i="42"/>
  <c r="E14" i="42"/>
  <c r="E11" i="42"/>
  <c r="F6" i="42"/>
  <c r="E30" i="41"/>
  <c r="E27" i="41"/>
  <c r="E24" i="41"/>
  <c r="F19" i="41"/>
  <c r="F16" i="41"/>
  <c r="E13" i="41"/>
  <c r="E10" i="41"/>
  <c r="E29" i="42"/>
  <c r="E26" i="42"/>
  <c r="F15" i="42"/>
  <c r="F9" i="42"/>
  <c r="E6" i="42"/>
  <c r="F28" i="41"/>
  <c r="F25" i="41"/>
  <c r="F22" i="41"/>
  <c r="E19" i="41"/>
  <c r="E16" i="41"/>
  <c r="F8" i="41"/>
  <c r="K3" i="35"/>
  <c r="F2" i="41" l="1"/>
  <c r="E2" i="41"/>
  <c r="F2" i="42"/>
  <c r="E2" i="42"/>
  <c r="X60" i="35"/>
  <c r="X68" i="35"/>
  <c r="X69" i="35"/>
  <c r="G60" i="35"/>
  <c r="G68" i="35"/>
  <c r="G69" i="35"/>
  <c r="F60" i="35"/>
  <c r="F69" i="35"/>
  <c r="E68" i="35"/>
  <c r="D60" i="35"/>
  <c r="D68" i="35"/>
  <c r="D69" i="35"/>
  <c r="X85" i="35"/>
  <c r="G85" i="35"/>
  <c r="E85" i="35"/>
  <c r="D85" i="35"/>
  <c r="X49" i="35"/>
  <c r="G49" i="35"/>
  <c r="E49" i="35"/>
  <c r="D49" i="35"/>
  <c r="D11" i="35"/>
  <c r="F11" i="35"/>
  <c r="G11" i="35"/>
  <c r="X11" i="35"/>
  <c r="D70" i="35"/>
  <c r="F70" i="35"/>
  <c r="G70" i="35"/>
  <c r="X70" i="35"/>
  <c r="D13" i="35"/>
  <c r="F13" i="35"/>
  <c r="G13" i="35"/>
  <c r="X13" i="35"/>
  <c r="O26" i="38"/>
  <c r="O27" i="38"/>
  <c r="I26" i="38"/>
  <c r="I27" i="38"/>
  <c r="C26" i="38"/>
  <c r="C27" i="38"/>
  <c r="D45" i="35"/>
  <c r="E45" i="35"/>
  <c r="G45" i="35"/>
  <c r="X45" i="35"/>
  <c r="D47" i="35"/>
  <c r="E47" i="35"/>
  <c r="G47" i="35"/>
  <c r="X47" i="35"/>
  <c r="X7" i="35"/>
  <c r="X8" i="35"/>
  <c r="X9" i="35"/>
  <c r="X14" i="35"/>
  <c r="X62" i="35"/>
  <c r="X16" i="35"/>
  <c r="X12" i="35"/>
  <c r="X63" i="35"/>
  <c r="X43" i="35"/>
  <c r="X17" i="35"/>
  <c r="X66" i="35"/>
  <c r="X33" i="35"/>
  <c r="X21" i="35"/>
  <c r="X22" i="35"/>
  <c r="X38" i="35"/>
  <c r="X39" i="35"/>
  <c r="X41" i="35"/>
  <c r="X10" i="35"/>
  <c r="X28" i="35"/>
  <c r="X61" i="35"/>
  <c r="X15" i="35"/>
  <c r="X72" i="35"/>
  <c r="X74" i="35"/>
  <c r="X30" i="35"/>
  <c r="X20" i="35"/>
  <c r="X31" i="35"/>
  <c r="X23" i="35"/>
  <c r="X36" i="35"/>
  <c r="X27" i="35"/>
  <c r="X76" i="35"/>
  <c r="X32" i="35"/>
  <c r="X40" i="35"/>
  <c r="X34" i="35"/>
  <c r="X35" i="35"/>
  <c r="X37" i="35"/>
  <c r="X71" i="35"/>
  <c r="X84" i="35"/>
  <c r="X42" i="35"/>
  <c r="X44" i="35"/>
  <c r="X52" i="35"/>
  <c r="X25" i="35"/>
  <c r="X26" i="35"/>
  <c r="X77" i="35"/>
  <c r="X46" i="35"/>
  <c r="X48" i="35"/>
  <c r="X51" i="35"/>
  <c r="X78" i="35"/>
  <c r="X58" i="35"/>
  <c r="X53" i="35"/>
  <c r="X55" i="35"/>
  <c r="X56" i="35"/>
  <c r="X57" i="35"/>
  <c r="X64" i="35"/>
  <c r="X65" i="35"/>
  <c r="X67" i="35"/>
  <c r="X89" i="35"/>
  <c r="X86" i="35"/>
  <c r="X73" i="35"/>
  <c r="X87" i="35"/>
  <c r="X88" i="35"/>
  <c r="X79" i="35"/>
  <c r="X80" i="35"/>
  <c r="X81" i="35"/>
  <c r="X82" i="35"/>
  <c r="X83" i="35"/>
  <c r="X75" i="35"/>
  <c r="X18" i="35"/>
  <c r="E4" i="35"/>
  <c r="B29" i="11"/>
  <c r="AB22" i="38"/>
  <c r="AA22" i="38"/>
  <c r="Z22" i="38"/>
  <c r="W22" i="38"/>
  <c r="V22" i="38"/>
  <c r="U22" i="38"/>
  <c r="AB21" i="38"/>
  <c r="AA21" i="38"/>
  <c r="Z21" i="38"/>
  <c r="W21" i="38"/>
  <c r="V21" i="38"/>
  <c r="U21" i="38"/>
  <c r="AA20" i="38"/>
  <c r="V20" i="38"/>
  <c r="C23" i="38"/>
  <c r="C24" i="38"/>
  <c r="C25" i="38"/>
  <c r="O23" i="38"/>
  <c r="O24" i="38"/>
  <c r="O25" i="38"/>
  <c r="I23" i="38"/>
  <c r="I24" i="38"/>
  <c r="I25" i="38"/>
  <c r="B4" i="40" l="1"/>
  <c r="B9" i="40"/>
  <c r="J14" i="40"/>
  <c r="J10" i="40"/>
  <c r="B10" i="40"/>
  <c r="F13" i="40"/>
  <c r="F7" i="40"/>
  <c r="J9" i="40"/>
  <c r="B8" i="40"/>
  <c r="B16" i="40"/>
  <c r="B11" i="40"/>
  <c r="B13" i="40"/>
  <c r="F8" i="40"/>
  <c r="J7" i="40"/>
  <c r="B5" i="40"/>
  <c r="B12" i="40"/>
  <c r="B7" i="40"/>
  <c r="F11" i="40"/>
  <c r="J12" i="40"/>
  <c r="J16" i="40"/>
  <c r="F9" i="40"/>
  <c r="F15" i="40"/>
  <c r="J6" i="40"/>
  <c r="B14" i="40"/>
  <c r="F4" i="40"/>
  <c r="F10" i="40"/>
  <c r="F12" i="40"/>
  <c r="B6" i="40"/>
  <c r="J11" i="40"/>
  <c r="J4" i="40"/>
  <c r="J5" i="40"/>
  <c r="J8" i="40"/>
  <c r="F16" i="40"/>
  <c r="F14" i="40"/>
  <c r="F5" i="40"/>
  <c r="B15" i="40"/>
  <c r="J15" i="40"/>
  <c r="F6" i="40"/>
  <c r="J13" i="40"/>
  <c r="F30" i="11"/>
  <c r="E30" i="11"/>
  <c r="S3" i="35"/>
  <c r="R3" i="35"/>
  <c r="X21" i="38"/>
  <c r="X22" i="38"/>
  <c r="AC21" i="38"/>
  <c r="AC22" i="38"/>
  <c r="AD31" i="32"/>
  <c r="P31" i="32"/>
  <c r="B31" i="32"/>
  <c r="E32" i="32" a="1"/>
  <c r="F32" i="32" a="1"/>
  <c r="D29" i="42" l="1"/>
  <c r="D26" i="42"/>
  <c r="C23" i="42"/>
  <c r="C20" i="42"/>
  <c r="C17" i="42"/>
  <c r="C14" i="42"/>
  <c r="C11" i="42"/>
  <c r="D6" i="42"/>
  <c r="C30" i="41"/>
  <c r="G30" i="41" s="1"/>
  <c r="C27" i="41"/>
  <c r="C24" i="41"/>
  <c r="D19" i="41"/>
  <c r="D16" i="41"/>
  <c r="C13" i="41"/>
  <c r="C10" i="41"/>
  <c r="C29" i="42"/>
  <c r="C26" i="42"/>
  <c r="D15" i="42"/>
  <c r="D9" i="42"/>
  <c r="C6" i="42"/>
  <c r="D28" i="41"/>
  <c r="J28" i="41" s="1"/>
  <c r="D25" i="41"/>
  <c r="D22" i="41"/>
  <c r="C19" i="41"/>
  <c r="C16" i="41"/>
  <c r="D8" i="41"/>
  <c r="C8" i="41"/>
  <c r="D30" i="42"/>
  <c r="J30" i="42" s="1"/>
  <c r="D24" i="42"/>
  <c r="D21" i="42"/>
  <c r="D18" i="42"/>
  <c r="C15" i="42"/>
  <c r="D12" i="42"/>
  <c r="C9" i="42"/>
  <c r="C28" i="41"/>
  <c r="G28" i="41" s="1"/>
  <c r="C25" i="41"/>
  <c r="C22" i="41"/>
  <c r="D14" i="41"/>
  <c r="D11" i="41"/>
  <c r="C30" i="42"/>
  <c r="G30" i="42" s="1"/>
  <c r="D27" i="42"/>
  <c r="C24" i="42"/>
  <c r="C21" i="42"/>
  <c r="C18" i="42"/>
  <c r="C12" i="42"/>
  <c r="D7" i="42"/>
  <c r="D20" i="41"/>
  <c r="D17" i="41"/>
  <c r="C14" i="41"/>
  <c r="C11" i="41"/>
  <c r="D6" i="41"/>
  <c r="C27" i="42"/>
  <c r="D16" i="42"/>
  <c r="D13" i="42"/>
  <c r="D10" i="42"/>
  <c r="C7" i="42"/>
  <c r="D29" i="41"/>
  <c r="D26" i="41"/>
  <c r="D23" i="41"/>
  <c r="C20" i="41"/>
  <c r="C17" i="41"/>
  <c r="D9" i="41"/>
  <c r="C6" i="41"/>
  <c r="D28" i="42"/>
  <c r="J28" i="42" s="1"/>
  <c r="D25" i="42"/>
  <c r="D22" i="42"/>
  <c r="D19" i="42"/>
  <c r="C16" i="42"/>
  <c r="C13" i="42"/>
  <c r="C10" i="42"/>
  <c r="C29" i="41"/>
  <c r="C26" i="41"/>
  <c r="C23" i="41"/>
  <c r="D15" i="41"/>
  <c r="D12" i="41"/>
  <c r="C9" i="41"/>
  <c r="C28" i="42"/>
  <c r="G28" i="42" s="1"/>
  <c r="C25" i="42"/>
  <c r="C22" i="42"/>
  <c r="C19" i="42"/>
  <c r="D8" i="42"/>
  <c r="D21" i="41"/>
  <c r="D18" i="41"/>
  <c r="C15" i="41"/>
  <c r="C12" i="41"/>
  <c r="D7" i="41"/>
  <c r="D23" i="42"/>
  <c r="D20" i="42"/>
  <c r="D17" i="42"/>
  <c r="D14" i="42"/>
  <c r="D11" i="42"/>
  <c r="C8" i="42"/>
  <c r="D30" i="41"/>
  <c r="J30" i="41" s="1"/>
  <c r="D27" i="41"/>
  <c r="D24" i="41"/>
  <c r="C21" i="41"/>
  <c r="C18" i="41"/>
  <c r="D13" i="41"/>
  <c r="D10" i="41"/>
  <c r="C7" i="41"/>
  <c r="J18" i="40"/>
  <c r="F18" i="40"/>
  <c r="B18" i="40"/>
  <c r="D30" i="11"/>
  <c r="J30" i="11" s="1"/>
  <c r="C30" i="11"/>
  <c r="K16" i="40" a="1"/>
  <c r="K16" i="40" s="1"/>
  <c r="D6" i="27"/>
  <c r="C6" i="27"/>
  <c r="G16" i="40" a="1"/>
  <c r="G16" i="40" s="1"/>
  <c r="E32" i="32"/>
  <c r="F32" i="32"/>
  <c r="AE21" i="38"/>
  <c r="AE22" i="38"/>
  <c r="D29" i="11"/>
  <c r="C29" i="11"/>
  <c r="E29" i="11"/>
  <c r="F29" i="11"/>
  <c r="D72" i="35"/>
  <c r="F72" i="35"/>
  <c r="G72" i="35"/>
  <c r="D18" i="35"/>
  <c r="E18" i="35"/>
  <c r="F18" i="35"/>
  <c r="C32" i="32" a="1"/>
  <c r="D32" i="32" a="1"/>
  <c r="C31" i="32" a="1"/>
  <c r="J32" i="32" a="1"/>
  <c r="E31" i="32" a="1"/>
  <c r="F31" i="32" a="1"/>
  <c r="D31" i="32" a="1"/>
  <c r="G6" i="27" l="1"/>
  <c r="I18" i="27"/>
  <c r="J6" i="27"/>
  <c r="L18" i="27"/>
  <c r="K9" i="27"/>
  <c r="H9" i="27"/>
  <c r="G21" i="41"/>
  <c r="H24" i="41"/>
  <c r="J20" i="42"/>
  <c r="K23" i="42"/>
  <c r="G19" i="42"/>
  <c r="H22" i="42"/>
  <c r="G26" i="41"/>
  <c r="H29" i="41"/>
  <c r="H10" i="42"/>
  <c r="G7" i="42"/>
  <c r="I19" i="42"/>
  <c r="J17" i="41"/>
  <c r="K20" i="41"/>
  <c r="L29" i="41"/>
  <c r="H18" i="42"/>
  <c r="I27" i="42"/>
  <c r="G15" i="42"/>
  <c r="G19" i="41"/>
  <c r="H22" i="41"/>
  <c r="C2" i="42"/>
  <c r="G29" i="42"/>
  <c r="K8" i="42"/>
  <c r="J6" i="42"/>
  <c r="K6" i="42"/>
  <c r="L18" i="42"/>
  <c r="K7" i="42"/>
  <c r="K9" i="42"/>
  <c r="K27" i="41"/>
  <c r="J24" i="41"/>
  <c r="J23" i="42"/>
  <c r="K26" i="42"/>
  <c r="G22" i="42"/>
  <c r="H25" i="42"/>
  <c r="C2" i="41"/>
  <c r="G29" i="41"/>
  <c r="H9" i="41"/>
  <c r="H6" i="41"/>
  <c r="I18" i="41"/>
  <c r="G6" i="41"/>
  <c r="H7" i="41"/>
  <c r="H8" i="41"/>
  <c r="K13" i="42"/>
  <c r="J10" i="42"/>
  <c r="L22" i="42"/>
  <c r="K23" i="41"/>
  <c r="J20" i="41"/>
  <c r="K14" i="41"/>
  <c r="L23" i="41"/>
  <c r="J11" i="41"/>
  <c r="K21" i="42"/>
  <c r="J18" i="42"/>
  <c r="L30" i="42"/>
  <c r="L2" i="42" s="1"/>
  <c r="J22" i="41"/>
  <c r="K25" i="41"/>
  <c r="G10" i="41"/>
  <c r="I22" i="41"/>
  <c r="H13" i="41"/>
  <c r="G11" i="42"/>
  <c r="H14" i="42"/>
  <c r="I23" i="42"/>
  <c r="K30" i="41"/>
  <c r="K2" i="41" s="1"/>
  <c r="J27" i="41"/>
  <c r="K9" i="41"/>
  <c r="J7" i="41"/>
  <c r="K10" i="41"/>
  <c r="L19" i="41"/>
  <c r="H28" i="42"/>
  <c r="G25" i="42"/>
  <c r="G10" i="42"/>
  <c r="I22" i="42"/>
  <c r="H13" i="42"/>
  <c r="J9" i="41"/>
  <c r="K12" i="41"/>
  <c r="L21" i="41"/>
  <c r="L25" i="42"/>
  <c r="K16" i="42"/>
  <c r="J13" i="42"/>
  <c r="J7" i="42"/>
  <c r="K10" i="42"/>
  <c r="L19" i="42"/>
  <c r="J14" i="41"/>
  <c r="L26" i="41"/>
  <c r="K17" i="41"/>
  <c r="K24" i="42"/>
  <c r="J21" i="42"/>
  <c r="J25" i="41"/>
  <c r="K28" i="41"/>
  <c r="G13" i="41"/>
  <c r="H16" i="41"/>
  <c r="I25" i="41"/>
  <c r="G14" i="42"/>
  <c r="H17" i="42"/>
  <c r="I26" i="42"/>
  <c r="G12" i="41"/>
  <c r="H15" i="41"/>
  <c r="I24" i="41"/>
  <c r="I25" i="42"/>
  <c r="H16" i="42"/>
  <c r="G13" i="42"/>
  <c r="H20" i="41"/>
  <c r="I29" i="41"/>
  <c r="G17" i="41"/>
  <c r="J16" i="42"/>
  <c r="L28" i="42"/>
  <c r="K19" i="42"/>
  <c r="G12" i="42"/>
  <c r="I24" i="42"/>
  <c r="H15" i="42"/>
  <c r="H25" i="41"/>
  <c r="G22" i="41"/>
  <c r="K27" i="42"/>
  <c r="J24" i="42"/>
  <c r="K19" i="41"/>
  <c r="J16" i="41"/>
  <c r="L28" i="41"/>
  <c r="G17" i="42"/>
  <c r="H20" i="42"/>
  <c r="I29" i="42"/>
  <c r="I19" i="41"/>
  <c r="H10" i="41"/>
  <c r="G7" i="41"/>
  <c r="G8" i="42"/>
  <c r="H11" i="42"/>
  <c r="I20" i="42"/>
  <c r="G15" i="41"/>
  <c r="H18" i="41"/>
  <c r="I27" i="41"/>
  <c r="G9" i="41"/>
  <c r="H12" i="41"/>
  <c r="I21" i="41"/>
  <c r="G16" i="42"/>
  <c r="I28" i="42"/>
  <c r="H19" i="42"/>
  <c r="H23" i="41"/>
  <c r="G20" i="41"/>
  <c r="G27" i="42"/>
  <c r="H30" i="42"/>
  <c r="H2" i="42" s="1"/>
  <c r="G18" i="42"/>
  <c r="H21" i="42"/>
  <c r="I30" i="42"/>
  <c r="I2" i="42" s="1"/>
  <c r="H28" i="41"/>
  <c r="G25" i="41"/>
  <c r="I18" i="42"/>
  <c r="H6" i="42"/>
  <c r="H9" i="42"/>
  <c r="H8" i="42"/>
  <c r="G6" i="42"/>
  <c r="H7" i="42"/>
  <c r="K22" i="41"/>
  <c r="J19" i="41"/>
  <c r="H23" i="42"/>
  <c r="G20" i="42"/>
  <c r="J10" i="41"/>
  <c r="L22" i="41"/>
  <c r="K13" i="41"/>
  <c r="L23" i="42"/>
  <c r="J11" i="42"/>
  <c r="K14" i="42"/>
  <c r="L30" i="41"/>
  <c r="L2" i="41" s="1"/>
  <c r="K21" i="41"/>
  <c r="J18" i="41"/>
  <c r="J12" i="41"/>
  <c r="K15" i="41"/>
  <c r="L24" i="41"/>
  <c r="J19" i="42"/>
  <c r="K22" i="42"/>
  <c r="K26" i="41"/>
  <c r="J23" i="41"/>
  <c r="K7" i="41"/>
  <c r="L18" i="41"/>
  <c r="K8" i="41"/>
  <c r="J6" i="41"/>
  <c r="K6" i="41"/>
  <c r="G21" i="42"/>
  <c r="H24" i="42"/>
  <c r="G8" i="41"/>
  <c r="I20" i="41"/>
  <c r="H11" i="41"/>
  <c r="K12" i="42"/>
  <c r="L21" i="42"/>
  <c r="J9" i="42"/>
  <c r="G24" i="41"/>
  <c r="H27" i="41"/>
  <c r="G23" i="42"/>
  <c r="H26" i="42"/>
  <c r="K16" i="41"/>
  <c r="L25" i="41"/>
  <c r="J13" i="41"/>
  <c r="L26" i="42"/>
  <c r="J14" i="42"/>
  <c r="K17" i="42"/>
  <c r="K24" i="41"/>
  <c r="J21" i="41"/>
  <c r="K18" i="41"/>
  <c r="L27" i="41"/>
  <c r="J15" i="41"/>
  <c r="J22" i="42"/>
  <c r="K25" i="42"/>
  <c r="J26" i="41"/>
  <c r="K29" i="41"/>
  <c r="G11" i="41"/>
  <c r="I23" i="41"/>
  <c r="H14" i="41"/>
  <c r="G24" i="42"/>
  <c r="H27" i="42"/>
  <c r="H12" i="42"/>
  <c r="I21" i="42"/>
  <c r="G9" i="42"/>
  <c r="L20" i="41"/>
  <c r="K11" i="41"/>
  <c r="J8" i="41"/>
  <c r="K18" i="42"/>
  <c r="J15" i="42"/>
  <c r="L27" i="42"/>
  <c r="H30" i="41"/>
  <c r="H2" i="41" s="1"/>
  <c r="G27" i="41"/>
  <c r="K29" i="42"/>
  <c r="J26" i="42"/>
  <c r="G18" i="41"/>
  <c r="H21" i="41"/>
  <c r="I30" i="41"/>
  <c r="I2" i="41" s="1"/>
  <c r="L29" i="42"/>
  <c r="J17" i="42"/>
  <c r="K20" i="42"/>
  <c r="J8" i="42"/>
  <c r="K11" i="42"/>
  <c r="L20" i="42"/>
  <c r="H26" i="41"/>
  <c r="G23" i="41"/>
  <c r="J25" i="42"/>
  <c r="K28" i="42"/>
  <c r="D2" i="41"/>
  <c r="J29" i="41"/>
  <c r="H17" i="41"/>
  <c r="I26" i="41"/>
  <c r="G14" i="41"/>
  <c r="J27" i="42"/>
  <c r="K30" i="42"/>
  <c r="K2" i="42" s="1"/>
  <c r="J12" i="42"/>
  <c r="L24" i="42"/>
  <c r="K15" i="42"/>
  <c r="H19" i="41"/>
  <c r="I28" i="41"/>
  <c r="G16" i="41"/>
  <c r="G26" i="42"/>
  <c r="H29" i="42"/>
  <c r="D2" i="42"/>
  <c r="J29" i="42"/>
  <c r="G15" i="40" a="1"/>
  <c r="G15" i="40" s="1"/>
  <c r="D32" i="32"/>
  <c r="C32" i="32"/>
  <c r="G30" i="11"/>
  <c r="C16" i="40" s="1" a="1"/>
  <c r="C16" i="40" s="1"/>
  <c r="J32" i="32"/>
  <c r="D31" i="32"/>
  <c r="C31" i="32"/>
  <c r="K15" i="40" a="1"/>
  <c r="K15" i="40" s="1"/>
  <c r="F31" i="32"/>
  <c r="E31" i="32"/>
  <c r="J29" i="11"/>
  <c r="G29" i="11"/>
  <c r="C15" i="40" s="1" a="1"/>
  <c r="C15" i="40" s="1"/>
  <c r="B28" i="11"/>
  <c r="C28" i="11"/>
  <c r="D28" i="11"/>
  <c r="E28" i="11"/>
  <c r="F28" i="11"/>
  <c r="B27" i="11"/>
  <c r="P30" i="32"/>
  <c r="B30" i="32"/>
  <c r="J31" i="32" a="1"/>
  <c r="E30" i="32" a="1"/>
  <c r="G31" i="32" a="1"/>
  <c r="D30" i="32" a="1"/>
  <c r="G32" i="32" a="1"/>
  <c r="F30" i="32" a="1"/>
  <c r="C30" i="32" a="1"/>
  <c r="L17" i="27" l="1"/>
  <c r="I16" i="27"/>
  <c r="I17" i="27"/>
  <c r="L16" i="27"/>
  <c r="K7" i="27"/>
  <c r="H7" i="27"/>
  <c r="H8" i="27"/>
  <c r="K8" i="27"/>
  <c r="G32" i="32"/>
  <c r="AE32" i="32" s="1"/>
  <c r="G14" i="40" a="1"/>
  <c r="G14" i="40" s="1"/>
  <c r="J31" i="32"/>
  <c r="G31" i="32"/>
  <c r="AE31" i="32" s="1"/>
  <c r="K14" i="40" a="1"/>
  <c r="K14" i="40" s="1"/>
  <c r="J28" i="11"/>
  <c r="G28" i="11"/>
  <c r="C14" i="40" s="1" a="1"/>
  <c r="C14" i="40" s="1"/>
  <c r="F30" i="32"/>
  <c r="E30" i="32"/>
  <c r="D30" i="32"/>
  <c r="C30" i="32"/>
  <c r="P29" i="32"/>
  <c r="B29" i="32"/>
  <c r="F27" i="11"/>
  <c r="E27" i="11"/>
  <c r="D27" i="11"/>
  <c r="C27" i="11"/>
  <c r="L15" i="27"/>
  <c r="I15" i="27"/>
  <c r="F29" i="32" a="1"/>
  <c r="J30" i="32" a="1"/>
  <c r="D29" i="32" a="1"/>
  <c r="C29" i="32" a="1"/>
  <c r="E29" i="32" a="1"/>
  <c r="G30" i="32" a="1"/>
  <c r="K6" i="27" l="1"/>
  <c r="H6" i="27"/>
  <c r="G13" i="40" a="1"/>
  <c r="G13" i="40" s="1"/>
  <c r="H16" i="40" a="1"/>
  <c r="H16" i="40" s="1"/>
  <c r="L16" i="40" a="1"/>
  <c r="L16" i="40" s="1"/>
  <c r="K30" i="11"/>
  <c r="H30" i="11"/>
  <c r="D16" i="40" s="1" a="1"/>
  <c r="D16" i="40" s="1"/>
  <c r="G30" i="32"/>
  <c r="AE30" i="32" s="1"/>
  <c r="J30" i="32"/>
  <c r="J27" i="11"/>
  <c r="K13" i="40" a="1"/>
  <c r="K13" i="40" s="1"/>
  <c r="G27" i="11"/>
  <c r="C13" i="40" s="1" a="1"/>
  <c r="C13" i="40" s="1"/>
  <c r="D29" i="32"/>
  <c r="E29" i="32"/>
  <c r="F29" i="32"/>
  <c r="C29" i="32"/>
  <c r="G41" i="35"/>
  <c r="F41" i="35"/>
  <c r="D41" i="35"/>
  <c r="AC2" i="32"/>
  <c r="AD30" i="32"/>
  <c r="AD29" i="32"/>
  <c r="J29" i="32" a="1"/>
  <c r="G29" i="32" a="1"/>
  <c r="K32" i="32" a="1"/>
  <c r="H32" i="32" a="1"/>
  <c r="H32" i="32" l="1"/>
  <c r="AF32" i="32" s="1"/>
  <c r="K32" i="32"/>
  <c r="J29" i="32"/>
  <c r="G29" i="32"/>
  <c r="AE29" i="32" s="1"/>
  <c r="D10" i="35" l="1"/>
  <c r="F10" i="35"/>
  <c r="G10" i="35"/>
  <c r="H90" i="33"/>
  <c r="I90" i="33"/>
  <c r="I73" i="33"/>
  <c r="H73" i="33"/>
  <c r="G90" i="33"/>
  <c r="G73" i="33"/>
  <c r="L28" i="33"/>
  <c r="L27" i="33"/>
  <c r="A28" i="33"/>
  <c r="A27" i="33"/>
  <c r="A7" i="33"/>
  <c r="A8" i="33"/>
  <c r="A9" i="33"/>
  <c r="A10" i="33"/>
  <c r="A11" i="33"/>
  <c r="A12" i="33"/>
  <c r="A13" i="33"/>
  <c r="A14" i="33"/>
  <c r="A15" i="33"/>
  <c r="A16" i="33"/>
  <c r="A17" i="33"/>
  <c r="A18" i="33"/>
  <c r="A19" i="33"/>
  <c r="A20" i="33"/>
  <c r="A21" i="33"/>
  <c r="A22" i="33"/>
  <c r="A23" i="33"/>
  <c r="A24" i="33"/>
  <c r="A25" i="33"/>
  <c r="A26" i="33"/>
  <c r="A6" i="33"/>
  <c r="N27" i="33" l="1"/>
  <c r="M27" i="33"/>
  <c r="M28" i="33"/>
  <c r="N28" i="33"/>
  <c r="G91" i="33" l="1"/>
  <c r="H91" i="33"/>
  <c r="I91" i="33"/>
  <c r="G74" i="33"/>
  <c r="I74" i="33"/>
  <c r="H74" i="33"/>
  <c r="D16" i="35"/>
  <c r="F16" i="35"/>
  <c r="G16" i="35"/>
  <c r="D79" i="35"/>
  <c r="F79" i="35"/>
  <c r="G79" i="35"/>
  <c r="D23" i="35"/>
  <c r="F23" i="35"/>
  <c r="G23" i="35"/>
  <c r="Q26" i="33"/>
  <c r="R6" i="33"/>
  <c r="R26" i="33"/>
  <c r="P26" i="33"/>
  <c r="AG6" i="32"/>
  <c r="AF6" i="32"/>
  <c r="AJ8" i="32" l="1"/>
  <c r="AJ9" i="32"/>
  <c r="AJ10" i="32"/>
  <c r="AJ11" i="32"/>
  <c r="AJ12" i="32"/>
  <c r="AJ13" i="32"/>
  <c r="AJ14" i="32"/>
  <c r="AJ15" i="32"/>
  <c r="AJ16" i="32"/>
  <c r="AJ17" i="32"/>
  <c r="AJ18" i="32"/>
  <c r="AJ19" i="32"/>
  <c r="AJ20" i="32"/>
  <c r="AJ21" i="32"/>
  <c r="AJ22" i="32"/>
  <c r="AJ23" i="32"/>
  <c r="AJ24" i="32"/>
  <c r="AJ25" i="32"/>
  <c r="AJ26" i="32"/>
  <c r="R3" i="32"/>
  <c r="S3" i="32"/>
  <c r="T3" i="32"/>
  <c r="V3" i="32"/>
  <c r="W3" i="32"/>
  <c r="Y3" i="32"/>
  <c r="Z3" i="32"/>
  <c r="Q3" i="32"/>
  <c r="D3" i="32"/>
  <c r="E3" i="32"/>
  <c r="F3" i="32"/>
  <c r="H3" i="32"/>
  <c r="I3" i="32"/>
  <c r="K3" i="32"/>
  <c r="L3" i="32"/>
  <c r="C3" i="32"/>
  <c r="D1" i="27"/>
  <c r="E1" i="27"/>
  <c r="F1" i="27"/>
  <c r="H1" i="27"/>
  <c r="I1" i="27"/>
  <c r="K1" i="27"/>
  <c r="L1" i="27"/>
  <c r="C1" i="27"/>
  <c r="E1" i="11"/>
  <c r="F1" i="11"/>
  <c r="D1" i="11"/>
  <c r="C1" i="11"/>
  <c r="H1" i="11"/>
  <c r="K1" i="11"/>
  <c r="L1" i="11"/>
  <c r="I1" i="11"/>
  <c r="U26" i="33"/>
  <c r="Y26" i="33" s="1"/>
  <c r="T26" i="33"/>
  <c r="X26" i="33" s="1"/>
  <c r="B26" i="11"/>
  <c r="F26" i="11"/>
  <c r="E26" i="11"/>
  <c r="D26" i="11"/>
  <c r="C26" i="11"/>
  <c r="V26" i="33" s="1"/>
  <c r="Z26" i="33" s="1"/>
  <c r="AD28" i="32"/>
  <c r="P28" i="32"/>
  <c r="B28" i="32"/>
  <c r="L14" i="27"/>
  <c r="I14" i="27"/>
  <c r="I17" i="32" a="1"/>
  <c r="I9" i="32" a="1"/>
  <c r="L19" i="32" a="1"/>
  <c r="L9" i="32" a="1"/>
  <c r="F28" i="32" a="1"/>
  <c r="L13" i="32" a="1"/>
  <c r="L17" i="32" a="1"/>
  <c r="C28" i="32" a="1"/>
  <c r="I13" i="32" a="1"/>
  <c r="E28" i="32" a="1"/>
  <c r="I10" i="32" a="1"/>
  <c r="L16" i="32" a="1"/>
  <c r="I18" i="32" a="1"/>
  <c r="I14" i="32" a="1"/>
  <c r="D28" i="32" a="1"/>
  <c r="L12" i="32" a="1"/>
  <c r="I12" i="32" a="1"/>
  <c r="I11" i="32" a="1"/>
  <c r="L15" i="32" a="1"/>
  <c r="I19" i="32" a="1"/>
  <c r="I16" i="32" a="1"/>
  <c r="I8" i="32" a="1"/>
  <c r="L10" i="32" a="1"/>
  <c r="L14" i="32" a="1"/>
  <c r="L8" i="32" a="1"/>
  <c r="I15" i="32" a="1"/>
  <c r="L11" i="32" a="1"/>
  <c r="L18" i="32" a="1"/>
  <c r="G12" i="40" l="1" a="1"/>
  <c r="G12" i="40" s="1"/>
  <c r="K29" i="11"/>
  <c r="L15" i="40" a="1"/>
  <c r="L15" i="40" s="1"/>
  <c r="H29" i="11"/>
  <c r="D15" i="40" s="1" a="1"/>
  <c r="D15" i="40" s="1"/>
  <c r="H15" i="40" a="1"/>
  <c r="H15" i="40" s="1"/>
  <c r="K12" i="40" a="1"/>
  <c r="K12" i="40" s="1"/>
  <c r="G26" i="11"/>
  <c r="C12" i="40" s="1" a="1"/>
  <c r="C12" i="40" s="1"/>
  <c r="L19" i="32"/>
  <c r="L15" i="32"/>
  <c r="L11" i="32"/>
  <c r="L18" i="32"/>
  <c r="L14" i="32"/>
  <c r="L10" i="32"/>
  <c r="L17" i="32"/>
  <c r="L13" i="32"/>
  <c r="L9" i="32"/>
  <c r="L16" i="32"/>
  <c r="L12" i="32"/>
  <c r="L8" i="32"/>
  <c r="I11" i="32"/>
  <c r="AG11" i="32" s="1"/>
  <c r="I19" i="32"/>
  <c r="AG19" i="32" s="1"/>
  <c r="I18" i="32"/>
  <c r="AG18" i="32" s="1"/>
  <c r="I14" i="32"/>
  <c r="AG14" i="32" s="1"/>
  <c r="I10" i="32"/>
  <c r="AG10" i="32" s="1"/>
  <c r="I15" i="32"/>
  <c r="AG15" i="32" s="1"/>
  <c r="I17" i="32"/>
  <c r="AG17" i="32" s="1"/>
  <c r="I13" i="32"/>
  <c r="AG13" i="32" s="1"/>
  <c r="I9" i="32"/>
  <c r="AG9" i="32" s="1"/>
  <c r="I16" i="32"/>
  <c r="AG16" i="32" s="1"/>
  <c r="I12" i="32"/>
  <c r="AG12" i="32" s="1"/>
  <c r="I8" i="32"/>
  <c r="AG8" i="32" s="1"/>
  <c r="J26" i="11"/>
  <c r="E28" i="32"/>
  <c r="F28" i="32"/>
  <c r="C28" i="32"/>
  <c r="D28" i="32"/>
  <c r="G28" i="32" a="1"/>
  <c r="H31" i="32" a="1"/>
  <c r="J28" i="32" a="1"/>
  <c r="K31" i="32" a="1"/>
  <c r="H31" i="32" l="1"/>
  <c r="AF31" i="32" s="1"/>
  <c r="K31" i="32"/>
  <c r="G28" i="32"/>
  <c r="AE28" i="32" s="1"/>
  <c r="J28" i="32"/>
  <c r="D28" i="35" l="1"/>
  <c r="D89" i="35"/>
  <c r="F89" i="35"/>
  <c r="G89" i="35"/>
  <c r="D84" i="35"/>
  <c r="E28" i="35"/>
  <c r="E84" i="35"/>
  <c r="F28" i="35"/>
  <c r="F84" i="35"/>
  <c r="D48" i="35"/>
  <c r="F48" i="35"/>
  <c r="G48" i="35"/>
  <c r="D25" i="35"/>
  <c r="D56" i="35"/>
  <c r="E56" i="35"/>
  <c r="F25" i="35"/>
  <c r="F56" i="35"/>
  <c r="G25" i="35"/>
  <c r="E7" i="35" l="1"/>
  <c r="O14" i="38"/>
  <c r="O15" i="38"/>
  <c r="O16" i="38"/>
  <c r="O17" i="38"/>
  <c r="O18" i="38"/>
  <c r="O19" i="38"/>
  <c r="O20" i="38"/>
  <c r="O21" i="38"/>
  <c r="O22" i="38"/>
  <c r="O13" i="38"/>
  <c r="Z3" i="38"/>
  <c r="AB3" i="38"/>
  <c r="W3" i="38"/>
  <c r="U3" i="38"/>
  <c r="I14" i="38"/>
  <c r="I15" i="38"/>
  <c r="I16" i="38"/>
  <c r="I17" i="38"/>
  <c r="I18" i="38"/>
  <c r="I19" i="38"/>
  <c r="I20" i="38"/>
  <c r="I21" i="38"/>
  <c r="I22" i="38"/>
  <c r="I13" i="38"/>
  <c r="C14" i="38"/>
  <c r="C15" i="38"/>
  <c r="C16" i="38"/>
  <c r="C17" i="38"/>
  <c r="C18" i="38"/>
  <c r="C19" i="38"/>
  <c r="C20" i="38"/>
  <c r="C21" i="38"/>
  <c r="C22" i="38"/>
  <c r="C13" i="38"/>
  <c r="V16" i="38"/>
  <c r="AA16" i="38"/>
  <c r="U17" i="38"/>
  <c r="V17" i="38"/>
  <c r="Z17" i="38"/>
  <c r="AA17" i="38"/>
  <c r="AA6" i="38"/>
  <c r="V6" i="38"/>
  <c r="AB10" i="38"/>
  <c r="AB11" i="38"/>
  <c r="AB12" i="38"/>
  <c r="AB15" i="38"/>
  <c r="AA10" i="38"/>
  <c r="AA12" i="38"/>
  <c r="AA15" i="38"/>
  <c r="Z12" i="38"/>
  <c r="Z15" i="38"/>
  <c r="W10" i="38"/>
  <c r="W11" i="38"/>
  <c r="W12" i="38"/>
  <c r="W15" i="38"/>
  <c r="V10" i="38"/>
  <c r="V12" i="38"/>
  <c r="V15" i="38"/>
  <c r="U12" i="38"/>
  <c r="U15" i="38"/>
  <c r="G67" i="35"/>
  <c r="G26" i="35"/>
  <c r="F67" i="35"/>
  <c r="F26" i="35"/>
  <c r="D67" i="35"/>
  <c r="D26" i="35"/>
  <c r="P24" i="33"/>
  <c r="Q24" i="33"/>
  <c r="R24" i="33"/>
  <c r="P25" i="33"/>
  <c r="Q25" i="33"/>
  <c r="R25" i="33"/>
  <c r="G62" i="35"/>
  <c r="G7" i="35"/>
  <c r="G55" i="35"/>
  <c r="G9" i="35"/>
  <c r="G17" i="35"/>
  <c r="G27" i="35"/>
  <c r="G39" i="35"/>
  <c r="G21" i="35"/>
  <c r="G78" i="35"/>
  <c r="G31" i="35"/>
  <c r="G12" i="35"/>
  <c r="G32" i="35"/>
  <c r="G53" i="35"/>
  <c r="G34" i="35"/>
  <c r="G35" i="35"/>
  <c r="G65" i="35"/>
  <c r="G73" i="35"/>
  <c r="G44" i="35"/>
  <c r="G80" i="35"/>
  <c r="G20" i="35"/>
  <c r="G46" i="35"/>
  <c r="G43" i="35"/>
  <c r="G61" i="35"/>
  <c r="G58" i="35"/>
  <c r="G63" i="35"/>
  <c r="G14" i="35"/>
  <c r="G38" i="35"/>
  <c r="G51" i="35"/>
  <c r="G87" i="35"/>
  <c r="G15" i="35"/>
  <c r="G74" i="35"/>
  <c r="G76" i="35"/>
  <c r="G86" i="35"/>
  <c r="G40" i="35"/>
  <c r="G37" i="35"/>
  <c r="G71" i="35"/>
  <c r="G42" i="35"/>
  <c r="G52" i="35"/>
  <c r="G77" i="35"/>
  <c r="G81" i="35"/>
  <c r="G82" i="35"/>
  <c r="G64" i="35"/>
  <c r="G88" i="35"/>
  <c r="G83" i="35"/>
  <c r="G75" i="35"/>
  <c r="G33" i="35"/>
  <c r="F8" i="35"/>
  <c r="F66" i="35"/>
  <c r="F27" i="35"/>
  <c r="F39" i="35"/>
  <c r="F78" i="35"/>
  <c r="F32" i="35"/>
  <c r="F22" i="35"/>
  <c r="F34" i="35"/>
  <c r="F35" i="35"/>
  <c r="F44" i="35"/>
  <c r="F20" i="35"/>
  <c r="F46" i="35"/>
  <c r="F43" i="35"/>
  <c r="F58" i="35"/>
  <c r="F36" i="35"/>
  <c r="F57" i="35"/>
  <c r="F38" i="35"/>
  <c r="F51" i="35"/>
  <c r="F87" i="35"/>
  <c r="F15" i="35"/>
  <c r="F74" i="35"/>
  <c r="F30" i="35"/>
  <c r="F86" i="35"/>
  <c r="F37" i="35"/>
  <c r="F42" i="35"/>
  <c r="F77" i="35"/>
  <c r="F88" i="35"/>
  <c r="F33" i="35"/>
  <c r="E8" i="35"/>
  <c r="E62" i="35"/>
  <c r="E55" i="35"/>
  <c r="E9" i="35"/>
  <c r="E17" i="35"/>
  <c r="E66" i="35"/>
  <c r="E21" i="35"/>
  <c r="E31" i="35"/>
  <c r="E12" i="35"/>
  <c r="E53" i="35"/>
  <c r="E22" i="35"/>
  <c r="E65" i="35"/>
  <c r="E73" i="35"/>
  <c r="E80" i="35"/>
  <c r="E61" i="35"/>
  <c r="E63" i="35"/>
  <c r="E36" i="35"/>
  <c r="E57" i="35"/>
  <c r="E14" i="35"/>
  <c r="E30" i="35"/>
  <c r="E76" i="35"/>
  <c r="E40" i="35"/>
  <c r="E71" i="35"/>
  <c r="E52" i="35"/>
  <c r="E81" i="35"/>
  <c r="E82" i="35"/>
  <c r="E64" i="35"/>
  <c r="E83" i="35"/>
  <c r="E75" i="35"/>
  <c r="W9" i="38" l="1"/>
  <c r="V14" i="38"/>
  <c r="X12" i="38"/>
  <c r="X15" i="38"/>
  <c r="AB9" i="38"/>
  <c r="AA14" i="38"/>
  <c r="AC15" i="38"/>
  <c r="AC12" i="38"/>
  <c r="AE12" i="38" l="1"/>
  <c r="AE15" i="38"/>
  <c r="U25" i="33"/>
  <c r="Y25" i="33" s="1"/>
  <c r="U24" i="33"/>
  <c r="Y24" i="33" s="1"/>
  <c r="T25" i="33"/>
  <c r="X25" i="33" s="1"/>
  <c r="F6" i="11"/>
  <c r="E6" i="11"/>
  <c r="D6" i="11"/>
  <c r="T24" i="33"/>
  <c r="X24" i="33" s="1"/>
  <c r="C6" i="11"/>
  <c r="F7" i="11"/>
  <c r="F8" i="11"/>
  <c r="F9" i="11"/>
  <c r="F10" i="11"/>
  <c r="F11" i="11"/>
  <c r="F12" i="11"/>
  <c r="F13" i="11"/>
  <c r="F14" i="11"/>
  <c r="F15" i="11"/>
  <c r="F16" i="11"/>
  <c r="F17" i="11"/>
  <c r="F18" i="11"/>
  <c r="F19" i="11"/>
  <c r="F20" i="11"/>
  <c r="F21" i="11"/>
  <c r="F22" i="11"/>
  <c r="F23" i="11"/>
  <c r="F24" i="11"/>
  <c r="F25" i="11"/>
  <c r="E7" i="11"/>
  <c r="E8" i="11"/>
  <c r="E9" i="11"/>
  <c r="E10" i="11"/>
  <c r="E11" i="11"/>
  <c r="E12" i="11"/>
  <c r="E13" i="11"/>
  <c r="E14" i="11"/>
  <c r="E15" i="11"/>
  <c r="E16" i="11"/>
  <c r="E17" i="11"/>
  <c r="E18" i="11"/>
  <c r="E19" i="11"/>
  <c r="E20" i="11"/>
  <c r="E21" i="11"/>
  <c r="E22" i="11"/>
  <c r="E23" i="11"/>
  <c r="E24" i="11"/>
  <c r="E25" i="11"/>
  <c r="D7" i="11"/>
  <c r="D8" i="11"/>
  <c r="D9" i="11"/>
  <c r="D10" i="11"/>
  <c r="D11" i="11"/>
  <c r="D12" i="11"/>
  <c r="D13" i="11"/>
  <c r="D14" i="11"/>
  <c r="D15" i="11"/>
  <c r="D16" i="11"/>
  <c r="D17" i="11"/>
  <c r="D18" i="11"/>
  <c r="D19" i="11"/>
  <c r="D20" i="11"/>
  <c r="D21" i="11"/>
  <c r="D22" i="11"/>
  <c r="D23" i="11"/>
  <c r="D24" i="11"/>
  <c r="D25" i="11"/>
  <c r="C7" i="11"/>
  <c r="C8" i="11"/>
  <c r="C9" i="11"/>
  <c r="C10" i="11"/>
  <c r="C11" i="11"/>
  <c r="C12" i="11"/>
  <c r="C13" i="11"/>
  <c r="C14" i="11"/>
  <c r="C15" i="11"/>
  <c r="C16" i="11"/>
  <c r="C17" i="11"/>
  <c r="C18" i="11"/>
  <c r="C19" i="11"/>
  <c r="C20" i="11"/>
  <c r="C21" i="11"/>
  <c r="C22" i="11"/>
  <c r="C23" i="11"/>
  <c r="C24" i="11"/>
  <c r="V24" i="33" s="1"/>
  <c r="Z24" i="33" s="1"/>
  <c r="C25" i="11"/>
  <c r="V25" i="33" s="1"/>
  <c r="Z25" i="33" s="1"/>
  <c r="AD27" i="32"/>
  <c r="P27" i="32"/>
  <c r="L13" i="27"/>
  <c r="I11" i="27"/>
  <c r="I13" i="27"/>
  <c r="B25" i="11"/>
  <c r="B27" i="32"/>
  <c r="C8" i="32" a="1"/>
  <c r="C27" i="32" a="1"/>
  <c r="D27" i="32" a="1"/>
  <c r="F27" i="32" a="1"/>
  <c r="E20" i="32" a="1"/>
  <c r="E27" i="32" a="1"/>
  <c r="I12" i="27" l="1"/>
  <c r="I8" i="27"/>
  <c r="I7" i="27"/>
  <c r="L12" i="27"/>
  <c r="I9" i="27"/>
  <c r="I10" i="27"/>
  <c r="G11" i="40" a="1"/>
  <c r="G11" i="40" s="1"/>
  <c r="G7" i="40" a="1"/>
  <c r="G7" i="40" s="1"/>
  <c r="G6" i="40" a="1"/>
  <c r="G6" i="40" s="1"/>
  <c r="G5" i="40" a="1"/>
  <c r="G5" i="40" s="1"/>
  <c r="G10" i="40" a="1"/>
  <c r="G10" i="40" s="1"/>
  <c r="G9" i="40" a="1"/>
  <c r="G9" i="40" s="1"/>
  <c r="G8" i="40" a="1"/>
  <c r="G8" i="40" s="1"/>
  <c r="L30" i="11"/>
  <c r="I16" i="40" a="1"/>
  <c r="I16" i="40" s="1"/>
  <c r="G4" i="40" a="1"/>
  <c r="G4" i="40" s="1"/>
  <c r="M16" i="40" a="1"/>
  <c r="M16" i="40" s="1"/>
  <c r="I6" i="27"/>
  <c r="I30" i="11"/>
  <c r="E16" i="40" s="1" a="1"/>
  <c r="E16" i="40" s="1"/>
  <c r="E20" i="32"/>
  <c r="C8" i="32"/>
  <c r="V6" i="33"/>
  <c r="Z6" i="33" s="1"/>
  <c r="I15" i="40" a="1"/>
  <c r="I15" i="40" s="1"/>
  <c r="M15" i="40" a="1"/>
  <c r="M15" i="40" s="1"/>
  <c r="I29" i="11"/>
  <c r="E15" i="40" s="1" a="1"/>
  <c r="E15" i="40" s="1"/>
  <c r="L29" i="11"/>
  <c r="H14" i="40" a="1"/>
  <c r="H14" i="40" s="1"/>
  <c r="L28" i="11"/>
  <c r="I14" i="40" a="1"/>
  <c r="I14" i="40" s="1"/>
  <c r="M14" i="40" a="1"/>
  <c r="M14" i="40" s="1"/>
  <c r="I28" i="11"/>
  <c r="E14" i="40" s="1" a="1"/>
  <c r="E14" i="40" s="1"/>
  <c r="L14" i="40" a="1"/>
  <c r="L14" i="40" s="1"/>
  <c r="K28" i="11"/>
  <c r="H28" i="11"/>
  <c r="D14" i="40" s="1" a="1"/>
  <c r="D14" i="40" s="1"/>
  <c r="H27" i="11"/>
  <c r="D13" i="40" s="1" a="1"/>
  <c r="D13" i="40" s="1"/>
  <c r="M13" i="40" a="1"/>
  <c r="M13" i="40" s="1"/>
  <c r="K27" i="11"/>
  <c r="I13" i="40" a="1"/>
  <c r="I13" i="40" s="1"/>
  <c r="L13" i="40" a="1"/>
  <c r="L13" i="40" s="1"/>
  <c r="I27" i="11"/>
  <c r="E13" i="40" s="1" a="1"/>
  <c r="E13" i="40" s="1"/>
  <c r="L27" i="11"/>
  <c r="H13" i="40" a="1"/>
  <c r="H13" i="40" s="1"/>
  <c r="L12" i="40" a="1"/>
  <c r="L12" i="40" s="1"/>
  <c r="L23" i="11"/>
  <c r="L22" i="11"/>
  <c r="M12" i="40" a="1"/>
  <c r="M12" i="40" s="1"/>
  <c r="I26" i="11"/>
  <c r="E12" i="40" s="1" a="1"/>
  <c r="E12" i="40" s="1"/>
  <c r="L21" i="11"/>
  <c r="M11" i="40" a="1"/>
  <c r="M11" i="40" s="1"/>
  <c r="I20" i="11"/>
  <c r="E6" i="40" s="1" a="1"/>
  <c r="E6" i="40" s="1"/>
  <c r="I19" i="11"/>
  <c r="E5" i="40" s="1" a="1"/>
  <c r="E5" i="40" s="1"/>
  <c r="I24" i="11"/>
  <c r="E10" i="40" s="1" a="1"/>
  <c r="E10" i="40" s="1"/>
  <c r="L19" i="11"/>
  <c r="I25" i="11"/>
  <c r="E11" i="40" s="1" a="1"/>
  <c r="E11" i="40" s="1"/>
  <c r="L20" i="11"/>
  <c r="M10" i="40" a="1"/>
  <c r="M10" i="40" s="1"/>
  <c r="I23" i="11"/>
  <c r="E9" i="40" s="1" a="1"/>
  <c r="E9" i="40" s="1"/>
  <c r="L26" i="11"/>
  <c r="I18" i="11"/>
  <c r="E4" i="40" s="1" a="1"/>
  <c r="E4" i="40" s="1"/>
  <c r="L18" i="11"/>
  <c r="I22" i="11"/>
  <c r="E8" i="40" s="1" a="1"/>
  <c r="E8" i="40" s="1"/>
  <c r="L25" i="11"/>
  <c r="I21" i="11"/>
  <c r="E7" i="40" s="1" a="1"/>
  <c r="E7" i="40" s="1"/>
  <c r="L24" i="11"/>
  <c r="H26" i="11"/>
  <c r="D12" i="40" s="1" a="1"/>
  <c r="D12" i="40" s="1"/>
  <c r="I12" i="40" a="1"/>
  <c r="I12" i="40" s="1"/>
  <c r="I11" i="40" a="1"/>
  <c r="I11" i="40" s="1"/>
  <c r="H12" i="40" a="1"/>
  <c r="H12" i="40" s="1"/>
  <c r="K26" i="11"/>
  <c r="J12" i="11"/>
  <c r="J23" i="11"/>
  <c r="J7" i="11"/>
  <c r="J22" i="11"/>
  <c r="J14" i="11"/>
  <c r="G6" i="11"/>
  <c r="G25" i="11"/>
  <c r="C11" i="40" s="1" a="1"/>
  <c r="C11" i="40" s="1"/>
  <c r="G9" i="11"/>
  <c r="J20" i="11"/>
  <c r="G24" i="11"/>
  <c r="C10" i="40" s="1" a="1"/>
  <c r="C10" i="40" s="1"/>
  <c r="G16" i="11"/>
  <c r="G8" i="11"/>
  <c r="J19" i="11"/>
  <c r="J11" i="11"/>
  <c r="G23" i="11"/>
  <c r="C9" i="40" s="1" a="1"/>
  <c r="C9" i="40" s="1"/>
  <c r="G15" i="11"/>
  <c r="G7" i="11"/>
  <c r="K6" i="11"/>
  <c r="G14" i="11"/>
  <c r="J25" i="11"/>
  <c r="J17" i="11"/>
  <c r="J9" i="11"/>
  <c r="G21" i="11"/>
  <c r="C7" i="40" s="1" a="1"/>
  <c r="C7" i="40" s="1"/>
  <c r="G13" i="11"/>
  <c r="J24" i="11"/>
  <c r="J16" i="11"/>
  <c r="J8" i="11"/>
  <c r="K10" i="40" a="1"/>
  <c r="K10" i="40" s="1"/>
  <c r="K11" i="40" a="1"/>
  <c r="K11" i="40" s="1"/>
  <c r="K9" i="40" a="1"/>
  <c r="K9" i="40" s="1"/>
  <c r="K8" i="40" a="1"/>
  <c r="K8" i="40" s="1"/>
  <c r="K7" i="40" a="1"/>
  <c r="K7" i="40" s="1"/>
  <c r="K5" i="40" a="1"/>
  <c r="K5" i="40" s="1"/>
  <c r="G22" i="11"/>
  <c r="C8" i="40" s="1" a="1"/>
  <c r="C8" i="40" s="1"/>
  <c r="H25" i="11"/>
  <c r="D11" i="40" s="1" a="1"/>
  <c r="D11" i="40" s="1"/>
  <c r="H15" i="11"/>
  <c r="H23" i="11"/>
  <c r="D9" i="40" s="1" a="1"/>
  <c r="D9" i="40" s="1"/>
  <c r="K21" i="11"/>
  <c r="K13" i="11"/>
  <c r="G12" i="11"/>
  <c r="K25" i="11"/>
  <c r="K18" i="11"/>
  <c r="H22" i="11"/>
  <c r="D8" i="40" s="1" a="1"/>
  <c r="D8" i="40" s="1"/>
  <c r="H14" i="11"/>
  <c r="K10" i="11"/>
  <c r="K8" i="11"/>
  <c r="H21" i="11"/>
  <c r="D7" i="40" s="1" a="1"/>
  <c r="D7" i="40" s="1"/>
  <c r="H13" i="11"/>
  <c r="K24" i="11"/>
  <c r="K16" i="11"/>
  <c r="H24" i="11"/>
  <c r="D10" i="40" s="1" a="1"/>
  <c r="D10" i="40" s="1"/>
  <c r="L7" i="40" a="1"/>
  <c r="L7" i="40" s="1"/>
  <c r="H7" i="40" a="1"/>
  <c r="H7" i="40" s="1"/>
  <c r="H20" i="11"/>
  <c r="D6" i="40" s="1" a="1"/>
  <c r="D6" i="40" s="1"/>
  <c r="H12" i="11"/>
  <c r="K22" i="11"/>
  <c r="K14" i="11"/>
  <c r="G20" i="11"/>
  <c r="C6" i="40" s="1" a="1"/>
  <c r="C6" i="40" s="1"/>
  <c r="K17" i="11"/>
  <c r="G17" i="11"/>
  <c r="H16" i="11"/>
  <c r="J15" i="11"/>
  <c r="K7" i="11"/>
  <c r="J6" i="11"/>
  <c r="G19" i="11"/>
  <c r="C5" i="40" s="1" a="1"/>
  <c r="C5" i="40" s="1"/>
  <c r="G11" i="11"/>
  <c r="H18" i="11"/>
  <c r="D4" i="40" s="1" a="1"/>
  <c r="D4" i="40" s="1"/>
  <c r="H10" i="11"/>
  <c r="K19" i="11"/>
  <c r="K11" i="11"/>
  <c r="H8" i="40" a="1"/>
  <c r="H8" i="40" s="1"/>
  <c r="L9" i="40" a="1"/>
  <c r="L9" i="40" s="1"/>
  <c r="H19" i="11"/>
  <c r="D5" i="40" s="1" a="1"/>
  <c r="D5" i="40" s="1"/>
  <c r="H11" i="11"/>
  <c r="K20" i="11"/>
  <c r="K12" i="11"/>
  <c r="G18" i="11"/>
  <c r="C4" i="40" s="1" a="1"/>
  <c r="C4" i="40" s="1"/>
  <c r="G10" i="11"/>
  <c r="J21" i="11"/>
  <c r="J13" i="11"/>
  <c r="H17" i="11"/>
  <c r="L10" i="40" a="1"/>
  <c r="L10" i="40" s="1"/>
  <c r="J18" i="11"/>
  <c r="J10" i="11"/>
  <c r="K23" i="11"/>
  <c r="K15" i="11"/>
  <c r="H5" i="40" a="1"/>
  <c r="H5" i="40" s="1"/>
  <c r="H7" i="11"/>
  <c r="H4" i="40" a="1"/>
  <c r="H4" i="40" s="1"/>
  <c r="H9" i="11"/>
  <c r="H10" i="40" a="1"/>
  <c r="H10" i="40" s="1"/>
  <c r="H6" i="11"/>
  <c r="L11" i="40" a="1"/>
  <c r="L11" i="40" s="1"/>
  <c r="K6" i="40" a="1"/>
  <c r="K6" i="40" s="1"/>
  <c r="L6" i="40" a="1"/>
  <c r="L6" i="40" s="1"/>
  <c r="K4" i="40" a="1"/>
  <c r="K4" i="40" s="1"/>
  <c r="L5" i="40" a="1"/>
  <c r="L5" i="40" s="1"/>
  <c r="L8" i="40" a="1"/>
  <c r="L8" i="40" s="1"/>
  <c r="L4" i="40" a="1"/>
  <c r="L4" i="40" s="1"/>
  <c r="H9" i="40" a="1"/>
  <c r="H9" i="40" s="1"/>
  <c r="H6" i="40" a="1"/>
  <c r="H6" i="40" s="1"/>
  <c r="H11" i="40" a="1"/>
  <c r="H11" i="40" s="1"/>
  <c r="H8" i="11"/>
  <c r="K9" i="11"/>
  <c r="D27" i="32"/>
  <c r="C27" i="32"/>
  <c r="E27" i="32"/>
  <c r="F27" i="32"/>
  <c r="H11" i="32" a="1"/>
  <c r="L24" i="32" a="1"/>
  <c r="I24" i="32" a="1"/>
  <c r="H25" i="32" a="1"/>
  <c r="H29" i="32" a="1"/>
  <c r="I27" i="32" a="1"/>
  <c r="L26" i="32" a="1"/>
  <c r="H10" i="32" a="1"/>
  <c r="L25" i="32" a="1"/>
  <c r="L28" i="32" a="1"/>
  <c r="L30" i="32" a="1"/>
  <c r="L20" i="32" a="1"/>
  <c r="I29" i="32" a="1"/>
  <c r="L21" i="32" a="1"/>
  <c r="H27" i="32" a="1"/>
  <c r="H20" i="32" a="1"/>
  <c r="K28" i="32" a="1"/>
  <c r="L23" i="32" a="1"/>
  <c r="H16" i="32" a="1"/>
  <c r="H9" i="32" a="1"/>
  <c r="L22" i="32" a="1"/>
  <c r="I21" i="32" a="1"/>
  <c r="L27" i="32" a="1"/>
  <c r="H19" i="32" a="1"/>
  <c r="H21" i="32" a="1"/>
  <c r="H15" i="32" a="1"/>
  <c r="L32" i="32" a="1"/>
  <c r="H12" i="32" a="1"/>
  <c r="I25" i="32" a="1"/>
  <c r="H30" i="32" a="1"/>
  <c r="I32" i="32" a="1"/>
  <c r="L31" i="32" a="1"/>
  <c r="I20" i="32" a="1"/>
  <c r="H14" i="32" a="1"/>
  <c r="H13" i="32" a="1"/>
  <c r="I31" i="32" a="1"/>
  <c r="K29" i="32" a="1"/>
  <c r="H26" i="32" a="1"/>
  <c r="G27" i="32" a="1"/>
  <c r="H22" i="32" a="1"/>
  <c r="H8" i="32" a="1"/>
  <c r="I28" i="32" a="1"/>
  <c r="I23" i="32" a="1"/>
  <c r="I22" i="32" a="1"/>
  <c r="H23" i="32" a="1"/>
  <c r="H18" i="32" a="1"/>
  <c r="J27" i="32" a="1"/>
  <c r="H28" i="32" a="1"/>
  <c r="K30" i="32" a="1"/>
  <c r="I30" i="32" a="1"/>
  <c r="L29" i="32" a="1"/>
  <c r="I26" i="32" a="1"/>
  <c r="H24" i="32" a="1"/>
  <c r="H17" i="32" a="1"/>
  <c r="H21" i="32" l="1"/>
  <c r="H12" i="32"/>
  <c r="H29" i="32"/>
  <c r="AF29" i="32" s="1"/>
  <c r="I32" i="32"/>
  <c r="AG32" i="32" s="1"/>
  <c r="H13" i="32"/>
  <c r="H14" i="32"/>
  <c r="H10" i="32"/>
  <c r="H9" i="32"/>
  <c r="H22" i="32"/>
  <c r="H23" i="32"/>
  <c r="H25" i="32"/>
  <c r="H30" i="32"/>
  <c r="AF30" i="32" s="1"/>
  <c r="H18" i="32"/>
  <c r="H17" i="32"/>
  <c r="H27" i="32"/>
  <c r="H28" i="32"/>
  <c r="AF28" i="32" s="1"/>
  <c r="H20" i="32"/>
  <c r="H11" i="32"/>
  <c r="H16" i="32"/>
  <c r="L32" i="32"/>
  <c r="H19" i="32"/>
  <c r="H15" i="32"/>
  <c r="H8" i="32"/>
  <c r="H26" i="32"/>
  <c r="H24" i="32"/>
  <c r="L31" i="32"/>
  <c r="I31" i="32"/>
  <c r="AG31" i="32" s="1"/>
  <c r="I30" i="32"/>
  <c r="AG30" i="32" s="1"/>
  <c r="L30" i="32"/>
  <c r="K30" i="32"/>
  <c r="L29" i="32"/>
  <c r="I29" i="32"/>
  <c r="AG29" i="32" s="1"/>
  <c r="K29" i="32"/>
  <c r="L20" i="32"/>
  <c r="I27" i="32"/>
  <c r="AG27" i="32" s="1"/>
  <c r="L22" i="32"/>
  <c r="I22" i="32"/>
  <c r="AG22" i="32" s="1"/>
  <c r="L23" i="32"/>
  <c r="L26" i="32"/>
  <c r="I20" i="32"/>
  <c r="AG20" i="32" s="1"/>
  <c r="I28" i="32"/>
  <c r="AG28" i="32" s="1"/>
  <c r="I23" i="32"/>
  <c r="AG23" i="32" s="1"/>
  <c r="L28" i="32"/>
  <c r="I25" i="32"/>
  <c r="AG25" i="32" s="1"/>
  <c r="I26" i="32"/>
  <c r="AG26" i="32" s="1"/>
  <c r="L21" i="32"/>
  <c r="L27" i="32"/>
  <c r="L24" i="32"/>
  <c r="I24" i="32"/>
  <c r="AG24" i="32" s="1"/>
  <c r="I21" i="32"/>
  <c r="AG21" i="32" s="1"/>
  <c r="L25" i="32"/>
  <c r="K28" i="32"/>
  <c r="J27" i="32"/>
  <c r="G27" i="32"/>
  <c r="AE27" i="32" s="1"/>
  <c r="T5" i="35"/>
  <c r="J5" i="35"/>
  <c r="AD26" i="32" l="1"/>
  <c r="D44" i="35"/>
  <c r="D32" i="35"/>
  <c r="D58" i="35"/>
  <c r="R22" i="1" a="1"/>
  <c r="R22" i="1" s="1"/>
  <c r="R28" i="1" a="1"/>
  <c r="R28" i="1" s="1"/>
  <c r="Q22" i="1" a="1"/>
  <c r="Q22" i="1" s="1"/>
  <c r="Q32" i="1" a="1"/>
  <c r="Q32" i="1" s="1"/>
  <c r="D33" i="35"/>
  <c r="D46" i="35"/>
  <c r="D35" i="35"/>
  <c r="D63" i="35"/>
  <c r="P26" i="32"/>
  <c r="B26" i="32"/>
  <c r="B24" i="11"/>
  <c r="D26" i="32" a="1"/>
  <c r="C26" i="32" a="1"/>
  <c r="D26" i="32" l="1"/>
  <c r="C26" i="32"/>
  <c r="D7" i="35"/>
  <c r="D8" i="35"/>
  <c r="D62" i="35"/>
  <c r="D17" i="35"/>
  <c r="D66" i="35"/>
  <c r="D27" i="35"/>
  <c r="D39" i="35"/>
  <c r="D9" i="35"/>
  <c r="D12" i="35"/>
  <c r="D78" i="35"/>
  <c r="D31" i="35"/>
  <c r="D34" i="35"/>
  <c r="D55" i="35"/>
  <c r="D51" i="35"/>
  <c r="D21" i="35"/>
  <c r="D73" i="35"/>
  <c r="D76" i="35"/>
  <c r="D80" i="35"/>
  <c r="D65" i="35"/>
  <c r="D42" i="35"/>
  <c r="D57" i="35"/>
  <c r="D52" i="35"/>
  <c r="D87" i="35"/>
  <c r="D81" i="35"/>
  <c r="D82" i="35"/>
  <c r="D64" i="35"/>
  <c r="D83" i="35"/>
  <c r="D22" i="35"/>
  <c r="D14" i="35"/>
  <c r="D38" i="35"/>
  <c r="D36" i="35"/>
  <c r="D86" i="35"/>
  <c r="D30" i="35"/>
  <c r="D20" i="35"/>
  <c r="D43" i="35"/>
  <c r="D74" i="35"/>
  <c r="D15" i="35"/>
  <c r="D77" i="35"/>
  <c r="D88" i="35"/>
  <c r="D37" i="35"/>
  <c r="D53" i="35"/>
  <c r="D40" i="35"/>
  <c r="D61" i="35"/>
  <c r="D71" i="35"/>
  <c r="D75" i="35"/>
  <c r="B28" i="1" l="1"/>
  <c r="P23" i="33"/>
  <c r="Q23" i="33"/>
  <c r="R23" i="33"/>
  <c r="G1" i="35" l="1"/>
  <c r="K1" i="35" l="1"/>
  <c r="D2" i="35"/>
  <c r="C2" i="35"/>
  <c r="AD25" i="32"/>
  <c r="U23" i="33"/>
  <c r="T23" i="33"/>
  <c r="P25" i="32"/>
  <c r="B25" i="32"/>
  <c r="F26" i="32" a="1"/>
  <c r="E26" i="32" a="1"/>
  <c r="U3" i="35" l="1"/>
  <c r="T3" i="35"/>
  <c r="X23" i="33"/>
  <c r="T28" i="33"/>
  <c r="T27" i="33"/>
  <c r="Y23" i="33"/>
  <c r="U28" i="33"/>
  <c r="U27" i="33"/>
  <c r="E26" i="32"/>
  <c r="F26" i="32"/>
  <c r="L2" i="35"/>
  <c r="L5" i="35"/>
  <c r="K2" i="35"/>
  <c r="K5" i="35"/>
  <c r="J26" i="32" a="1"/>
  <c r="G26" i="32" a="1"/>
  <c r="J26" i="32" l="1"/>
  <c r="G26" i="32"/>
  <c r="AE26" i="32" s="1"/>
  <c r="B23" i="11" l="1"/>
  <c r="E25" i="32" a="1"/>
  <c r="D25" i="32" a="1"/>
  <c r="C25" i="32" a="1"/>
  <c r="F25" i="32" a="1"/>
  <c r="D25" i="32" l="1"/>
  <c r="C25" i="32"/>
  <c r="V23" i="33"/>
  <c r="F25" i="32"/>
  <c r="E25" i="32"/>
  <c r="C12" i="34"/>
  <c r="G12" i="34" s="1"/>
  <c r="B51" i="34"/>
  <c r="B54" i="34" s="1"/>
  <c r="B56" i="34" s="1"/>
  <c r="G25" i="32" a="1"/>
  <c r="J25" i="32" a="1"/>
  <c r="Z23" i="33" l="1"/>
  <c r="V28" i="33"/>
  <c r="V27" i="33"/>
  <c r="G25" i="32"/>
  <c r="AE25" i="32" s="1"/>
  <c r="J25" i="32"/>
  <c r="V37" i="33" l="1"/>
  <c r="V36" i="33" s="1"/>
  <c r="P22" i="33"/>
  <c r="Q22" i="33"/>
  <c r="R22" i="33"/>
  <c r="E43" i="34" l="1"/>
  <c r="C44" i="34"/>
  <c r="B15" i="34"/>
  <c r="B16" i="34"/>
  <c r="B17" i="34"/>
  <c r="B18" i="34"/>
  <c r="B19" i="34"/>
  <c r="B20" i="34"/>
  <c r="B21" i="34"/>
  <c r="B22" i="34"/>
  <c r="B23" i="34"/>
  <c r="B24" i="34"/>
  <c r="B25" i="34"/>
  <c r="B26" i="34"/>
  <c r="B27" i="34"/>
  <c r="B28" i="34"/>
  <c r="B29" i="34"/>
  <c r="B30" i="34"/>
  <c r="B31" i="34"/>
  <c r="B32" i="34"/>
  <c r="B33" i="34"/>
  <c r="B34" i="34"/>
  <c r="B35" i="34"/>
  <c r="B36" i="34"/>
  <c r="B37" i="34"/>
  <c r="B38" i="34"/>
  <c r="B39" i="34"/>
  <c r="B40" i="34"/>
  <c r="B41" i="34"/>
  <c r="B42" i="34"/>
  <c r="B43" i="34"/>
  <c r="I15" i="34"/>
  <c r="I16" i="34"/>
  <c r="I17" i="34"/>
  <c r="I18" i="34"/>
  <c r="I19" i="34"/>
  <c r="I20" i="34"/>
  <c r="I21" i="34"/>
  <c r="I22" i="34"/>
  <c r="I23" i="34"/>
  <c r="I24" i="34"/>
  <c r="I25" i="34"/>
  <c r="I26" i="34"/>
  <c r="I27" i="34"/>
  <c r="I28" i="34"/>
  <c r="I29" i="34"/>
  <c r="I30" i="34"/>
  <c r="I31" i="34"/>
  <c r="I32" i="34"/>
  <c r="I33" i="34"/>
  <c r="I34" i="34"/>
  <c r="I35" i="34"/>
  <c r="I36" i="34"/>
  <c r="I37" i="34"/>
  <c r="I38" i="34"/>
  <c r="I39" i="34"/>
  <c r="I40" i="34"/>
  <c r="I41" i="34"/>
  <c r="I42" i="34"/>
  <c r="I43" i="34"/>
  <c r="G15" i="34"/>
  <c r="G16" i="34"/>
  <c r="G17" i="34"/>
  <c r="G18" i="34"/>
  <c r="G19" i="34"/>
  <c r="G20" i="34"/>
  <c r="G21" i="34"/>
  <c r="G22" i="34"/>
  <c r="G23" i="34"/>
  <c r="G24" i="34"/>
  <c r="G25" i="34"/>
  <c r="G26" i="34"/>
  <c r="G27" i="34"/>
  <c r="G28" i="34"/>
  <c r="G29" i="34"/>
  <c r="G30" i="34"/>
  <c r="G31" i="34"/>
  <c r="G32" i="34"/>
  <c r="G33" i="34"/>
  <c r="G34" i="34"/>
  <c r="G35" i="34"/>
  <c r="G36" i="34"/>
  <c r="G37" i="34"/>
  <c r="G38" i="34"/>
  <c r="G39" i="34"/>
  <c r="G40" i="34"/>
  <c r="G41" i="34"/>
  <c r="G42" i="34"/>
  <c r="G43" i="34"/>
  <c r="I14" i="34"/>
  <c r="B14" i="34"/>
  <c r="G14" i="34"/>
  <c r="G13" i="34"/>
  <c r="I13" i="34"/>
  <c r="B13" i="34"/>
  <c r="AD24" i="32"/>
  <c r="P24" i="32"/>
  <c r="U22" i="33"/>
  <c r="T22" i="33"/>
  <c r="B24" i="32"/>
  <c r="X22" i="33" l="1"/>
  <c r="X31" i="33"/>
  <c r="Y22" i="33"/>
  <c r="Y31" i="33"/>
  <c r="H12" i="34"/>
  <c r="D12" i="34"/>
  <c r="D13" i="34" l="1"/>
  <c r="E12" i="34"/>
  <c r="E44" i="34" s="1"/>
  <c r="I12" i="34"/>
  <c r="I44" i="34" s="1"/>
  <c r="H44" i="34"/>
  <c r="B12" i="34"/>
  <c r="G44" i="34"/>
  <c r="E13" i="34" l="1"/>
  <c r="D14" i="34"/>
  <c r="F22" i="34"/>
  <c r="F30" i="34"/>
  <c r="F38" i="34"/>
  <c r="F13" i="34"/>
  <c r="F23" i="34"/>
  <c r="F31" i="34"/>
  <c r="F39" i="34"/>
  <c r="F25" i="34"/>
  <c r="F18" i="34"/>
  <c r="F42" i="34"/>
  <c r="F20" i="34"/>
  <c r="F36" i="34"/>
  <c r="F21" i="34"/>
  <c r="F14" i="34"/>
  <c r="F16" i="34"/>
  <c r="F24" i="34"/>
  <c r="F32" i="34"/>
  <c r="F40" i="34"/>
  <c r="F33" i="34"/>
  <c r="F41" i="34"/>
  <c r="F26" i="34"/>
  <c r="F29" i="34"/>
  <c r="F17" i="34"/>
  <c r="F34" i="34"/>
  <c r="F28" i="34"/>
  <c r="F15" i="34"/>
  <c r="F37" i="34"/>
  <c r="F19" i="34"/>
  <c r="F27" i="34"/>
  <c r="F35" i="34"/>
  <c r="F43" i="34"/>
  <c r="B22" i="11"/>
  <c r="F24" i="32" a="1"/>
  <c r="D24" i="32" a="1"/>
  <c r="E24" i="32" a="1"/>
  <c r="C24" i="32" a="1"/>
  <c r="E14" i="34" l="1"/>
  <c r="D15" i="34"/>
  <c r="F44" i="34"/>
  <c r="C24" i="32"/>
  <c r="D24" i="32"/>
  <c r="V22" i="33"/>
  <c r="E24" i="32"/>
  <c r="F24" i="32"/>
  <c r="V49" i="18" a="1"/>
  <c r="V49" i="18" s="1"/>
  <c r="U49" i="18" a="1"/>
  <c r="U49" i="18" s="1"/>
  <c r="T49" i="18" a="1"/>
  <c r="T49" i="18" s="1"/>
  <c r="S49" i="18" a="1"/>
  <c r="S49" i="18" s="1"/>
  <c r="R49" i="18"/>
  <c r="E49" i="18"/>
  <c r="V13" i="18" a="1"/>
  <c r="V13" i="18" s="1"/>
  <c r="U13" i="18" a="1"/>
  <c r="U13" i="18" s="1"/>
  <c r="T13" i="18" a="1"/>
  <c r="T13" i="18" s="1"/>
  <c r="S13" i="18" a="1"/>
  <c r="S13" i="18" s="1"/>
  <c r="R13" i="18"/>
  <c r="E13" i="18"/>
  <c r="P21" i="33"/>
  <c r="Q21" i="33"/>
  <c r="R21" i="33"/>
  <c r="B2" i="27"/>
  <c r="B2" i="11"/>
  <c r="AC1" i="32"/>
  <c r="U21" i="33"/>
  <c r="AD23" i="32"/>
  <c r="P23" i="32"/>
  <c r="B23" i="32"/>
  <c r="B21" i="11"/>
  <c r="E23" i="32" a="1"/>
  <c r="C23" i="32" a="1"/>
  <c r="G24" i="32" a="1"/>
  <c r="L2" i="27" l="1"/>
  <c r="I2" i="27"/>
  <c r="I2" i="11"/>
  <c r="L2" i="11"/>
  <c r="Y21" i="33"/>
  <c r="I4" i="32"/>
  <c r="L4" i="32"/>
  <c r="K4" i="32"/>
  <c r="H4" i="32"/>
  <c r="Z22" i="33"/>
  <c r="Z31" i="33"/>
  <c r="T31" i="33"/>
  <c r="AF27" i="32"/>
  <c r="V21" i="33"/>
  <c r="Z21" i="33" s="1"/>
  <c r="D16" i="34"/>
  <c r="E15" i="34"/>
  <c r="G24" i="32"/>
  <c r="AE24" i="32" s="1"/>
  <c r="T21" i="33"/>
  <c r="X21" i="33" s="1"/>
  <c r="E23" i="32"/>
  <c r="C23" i="32"/>
  <c r="D23" i="32" a="1"/>
  <c r="F23" i="32" a="1"/>
  <c r="G23" i="32" a="1"/>
  <c r="K26" i="32" a="1"/>
  <c r="J24" i="32" a="1"/>
  <c r="J23" i="32" a="1"/>
  <c r="K27" i="32" a="1"/>
  <c r="D23" i="32" l="1"/>
  <c r="J24" i="32"/>
  <c r="F23" i="32"/>
  <c r="K27" i="32"/>
  <c r="AF26" i="32"/>
  <c r="K26" i="32"/>
  <c r="D17" i="34"/>
  <c r="E16" i="34"/>
  <c r="J23" i="32"/>
  <c r="G23" i="32"/>
  <c r="AE23" i="32" s="1"/>
  <c r="D18" i="34" l="1"/>
  <c r="E17" i="34"/>
  <c r="D19" i="34" l="1"/>
  <c r="E18" i="34"/>
  <c r="P20" i="33"/>
  <c r="Q20" i="33"/>
  <c r="R20" i="33"/>
  <c r="D20" i="34" l="1"/>
  <c r="E19" i="34"/>
  <c r="V18" i="18" a="1"/>
  <c r="V18" i="18" s="1"/>
  <c r="U18" i="18" a="1"/>
  <c r="U18" i="18" s="1"/>
  <c r="T18" i="18" a="1"/>
  <c r="T18" i="18" s="1"/>
  <c r="S18" i="18" a="1"/>
  <c r="S18" i="18" s="1"/>
  <c r="R18" i="18"/>
  <c r="E18" i="18"/>
  <c r="V28" i="18" a="1"/>
  <c r="V28" i="18" s="1"/>
  <c r="U28" i="18" a="1"/>
  <c r="U28" i="18" s="1"/>
  <c r="T28" i="18" a="1"/>
  <c r="T28" i="18" s="1"/>
  <c r="S28" i="18" a="1"/>
  <c r="S28" i="18" s="1"/>
  <c r="R28" i="18"/>
  <c r="E28" i="18"/>
  <c r="D21" i="34" l="1"/>
  <c r="E20" i="34"/>
  <c r="D22" i="34" l="1"/>
  <c r="E21" i="34"/>
  <c r="U20" i="33"/>
  <c r="Y20" i="33" s="1"/>
  <c r="T20" i="33"/>
  <c r="X20" i="33" s="1"/>
  <c r="B22" i="32"/>
  <c r="AD22" i="32"/>
  <c r="P22" i="32"/>
  <c r="D23" i="34" l="1"/>
  <c r="E22" i="34"/>
  <c r="B20" i="11"/>
  <c r="V20" i="33"/>
  <c r="Z20" i="33" s="1"/>
  <c r="E22" i="32" a="1"/>
  <c r="C22" i="32" a="1"/>
  <c r="F22" i="32" a="1"/>
  <c r="D22" i="32" a="1"/>
  <c r="D24" i="34" l="1"/>
  <c r="E23" i="34"/>
  <c r="D22" i="32"/>
  <c r="C22" i="32"/>
  <c r="F22" i="32"/>
  <c r="E22" i="32"/>
  <c r="R7" i="33"/>
  <c r="R8" i="33"/>
  <c r="R9" i="33"/>
  <c r="R10" i="33"/>
  <c r="R11" i="33"/>
  <c r="Q12" i="33"/>
  <c r="R12" i="33"/>
  <c r="P13" i="33"/>
  <c r="Q13" i="33"/>
  <c r="R13" i="33"/>
  <c r="P14" i="33"/>
  <c r="Q14" i="33"/>
  <c r="R14" i="33"/>
  <c r="P15" i="33"/>
  <c r="Q15" i="33"/>
  <c r="R15" i="33"/>
  <c r="P16" i="33"/>
  <c r="Q16" i="33"/>
  <c r="R16" i="33"/>
  <c r="P17" i="33"/>
  <c r="Q17" i="33"/>
  <c r="R17" i="33"/>
  <c r="P18" i="33"/>
  <c r="Q18" i="33"/>
  <c r="R18" i="33"/>
  <c r="P19" i="33"/>
  <c r="Q19" i="33"/>
  <c r="R19" i="33"/>
  <c r="U12" i="33"/>
  <c r="R1" i="32"/>
  <c r="AD9" i="32"/>
  <c r="AD10" i="32"/>
  <c r="AD11" i="32"/>
  <c r="AD12" i="32"/>
  <c r="AD13" i="32"/>
  <c r="AD14" i="32"/>
  <c r="AD15" i="32"/>
  <c r="AD16" i="32"/>
  <c r="AD17" i="32"/>
  <c r="AD18" i="32"/>
  <c r="AD19" i="32"/>
  <c r="AD20" i="32"/>
  <c r="AD21" i="32"/>
  <c r="AD8" i="32"/>
  <c r="AE6" i="32"/>
  <c r="AC4" i="32"/>
  <c r="P9" i="32"/>
  <c r="P10" i="32"/>
  <c r="P11" i="32"/>
  <c r="P12" i="32"/>
  <c r="P13" i="32"/>
  <c r="P14" i="32"/>
  <c r="P15" i="32"/>
  <c r="P16" i="32"/>
  <c r="P17" i="32"/>
  <c r="P18" i="32"/>
  <c r="P19" i="32"/>
  <c r="P20" i="32"/>
  <c r="P21" i="32"/>
  <c r="P8" i="32"/>
  <c r="C1" i="32"/>
  <c r="P4" i="32"/>
  <c r="P1" i="32"/>
  <c r="K25" i="32" a="1"/>
  <c r="J22" i="32" a="1"/>
  <c r="K8" i="32" a="1"/>
  <c r="K9" i="32" a="1"/>
  <c r="G22" i="32" a="1"/>
  <c r="Y12" i="33" l="1"/>
  <c r="K25" i="32"/>
  <c r="AF25" i="32"/>
  <c r="D25" i="34"/>
  <c r="E24" i="34"/>
  <c r="Q1" i="32"/>
  <c r="G22" i="32"/>
  <c r="AE22" i="32" s="1"/>
  <c r="J22" i="32"/>
  <c r="K9" i="32"/>
  <c r="K8" i="32"/>
  <c r="AF9" i="32"/>
  <c r="AF8" i="32"/>
  <c r="Q32" i="32" a="1"/>
  <c r="S29" i="32" a="1"/>
  <c r="R32" i="32" a="1"/>
  <c r="S30" i="32" a="1"/>
  <c r="T32" i="32" a="1"/>
  <c r="S28" i="32" a="1"/>
  <c r="Q29" i="32" a="1"/>
  <c r="R26" i="32" a="1"/>
  <c r="S26" i="32" a="1"/>
  <c r="S31" i="32" a="1"/>
  <c r="R30" i="32" a="1"/>
  <c r="S32" i="32" a="1"/>
  <c r="R22" i="32" a="1"/>
  <c r="R28" i="32" a="1"/>
  <c r="R23" i="32" a="1"/>
  <c r="S23" i="32" a="1"/>
  <c r="R27" i="32" a="1"/>
  <c r="S27" i="32" a="1"/>
  <c r="S24" i="32" a="1"/>
  <c r="T23" i="32" a="1"/>
  <c r="S22" i="32" a="1"/>
  <c r="T26" i="32" a="1"/>
  <c r="R25" i="32" a="1"/>
  <c r="T22" i="32" a="1"/>
  <c r="Q24" i="32" a="1"/>
  <c r="R29" i="32" a="1"/>
  <c r="Q23" i="32" a="1"/>
  <c r="Q30" i="32" a="1"/>
  <c r="Q26" i="32" a="1"/>
  <c r="T27" i="32" a="1"/>
  <c r="T28" i="32" a="1"/>
  <c r="S25" i="32" a="1"/>
  <c r="T31" i="32" a="1"/>
  <c r="Q31" i="32" a="1"/>
  <c r="Q27" i="32" a="1"/>
  <c r="Q28" i="32" a="1"/>
  <c r="T25" i="32" a="1"/>
  <c r="R31" i="32" a="1"/>
  <c r="Q22" i="32" a="1"/>
  <c r="T29" i="32" a="1"/>
  <c r="T24" i="32" a="1"/>
  <c r="Q25" i="32" a="1"/>
  <c r="R24" i="32" a="1"/>
  <c r="T30" i="32" a="1"/>
  <c r="R32" i="32" l="1"/>
  <c r="T32" i="32"/>
  <c r="Q32" i="32"/>
  <c r="S32" i="32"/>
  <c r="S29" i="32"/>
  <c r="R29" i="32"/>
  <c r="T29" i="32"/>
  <c r="Q29" i="32"/>
  <c r="T30" i="32"/>
  <c r="R30" i="32"/>
  <c r="S30" i="32"/>
  <c r="Q30" i="32"/>
  <c r="S31" i="32"/>
  <c r="T31" i="32"/>
  <c r="R31" i="32"/>
  <c r="Q31" i="32"/>
  <c r="R27" i="32"/>
  <c r="S27" i="32"/>
  <c r="T27" i="32"/>
  <c r="Q27" i="32"/>
  <c r="S28" i="32"/>
  <c r="T28" i="32"/>
  <c r="Q28" i="32"/>
  <c r="R28" i="32"/>
  <c r="R24" i="32"/>
  <c r="Q24" i="32"/>
  <c r="T24" i="32"/>
  <c r="S24" i="32"/>
  <c r="S25" i="32"/>
  <c r="T25" i="32"/>
  <c r="S26" i="32"/>
  <c r="R25" i="32"/>
  <c r="T26" i="32"/>
  <c r="Q25" i="32"/>
  <c r="R26" i="32"/>
  <c r="Q26" i="32"/>
  <c r="D26" i="34"/>
  <c r="E25" i="34"/>
  <c r="Q23" i="32"/>
  <c r="R23" i="32"/>
  <c r="S23" i="32"/>
  <c r="T23" i="32"/>
  <c r="S22" i="32"/>
  <c r="R22" i="32"/>
  <c r="T22" i="32"/>
  <c r="Q22" i="32"/>
  <c r="U32" i="32" l="1"/>
  <c r="AH32" i="32" s="1"/>
  <c r="X32" i="32"/>
  <c r="V32" i="32"/>
  <c r="AI32" i="32" s="1"/>
  <c r="Y32" i="32"/>
  <c r="X29" i="32"/>
  <c r="X30" i="32"/>
  <c r="U30" i="32"/>
  <c r="AH30" i="32" s="1"/>
  <c r="X31" i="32"/>
  <c r="U31" i="32"/>
  <c r="AH31" i="32" s="1"/>
  <c r="U29" i="32"/>
  <c r="AH29" i="32" s="1"/>
  <c r="V31" i="32"/>
  <c r="AI31" i="32" s="1"/>
  <c r="Y31" i="32"/>
  <c r="V30" i="32"/>
  <c r="AI30" i="32" s="1"/>
  <c r="Y30" i="32"/>
  <c r="Y29" i="32"/>
  <c r="V29" i="32"/>
  <c r="AI29" i="32" s="1"/>
  <c r="X27" i="32"/>
  <c r="V28" i="32"/>
  <c r="AI28" i="32" s="1"/>
  <c r="U28" i="32"/>
  <c r="AH28" i="32" s="1"/>
  <c r="X28" i="32"/>
  <c r="U27" i="32"/>
  <c r="AH27" i="32" s="1"/>
  <c r="Y28" i="32"/>
  <c r="U26" i="32"/>
  <c r="AH26" i="32" s="1"/>
  <c r="X24" i="32"/>
  <c r="Y27" i="32"/>
  <c r="V27" i="32"/>
  <c r="AI27" i="32" s="1"/>
  <c r="U25" i="32"/>
  <c r="AH25" i="32" s="1"/>
  <c r="U24" i="32"/>
  <c r="X25" i="32"/>
  <c r="X26" i="32"/>
  <c r="Y26" i="32"/>
  <c r="V26" i="32"/>
  <c r="AI26" i="32" s="1"/>
  <c r="V25" i="32"/>
  <c r="AI25" i="32" s="1"/>
  <c r="Y25" i="32"/>
  <c r="D27" i="34"/>
  <c r="E26" i="34"/>
  <c r="X23" i="32"/>
  <c r="U23" i="32"/>
  <c r="AH23" i="32" s="1"/>
  <c r="U22" i="32"/>
  <c r="AH22" i="32" s="1"/>
  <c r="X22" i="32"/>
  <c r="B9" i="32"/>
  <c r="B10" i="32"/>
  <c r="B11" i="32"/>
  <c r="B12" i="32"/>
  <c r="B13" i="32"/>
  <c r="B14" i="32"/>
  <c r="B15" i="32"/>
  <c r="B16" i="32"/>
  <c r="B17" i="32"/>
  <c r="B18" i="32"/>
  <c r="B19" i="32"/>
  <c r="B20" i="32"/>
  <c r="B21" i="32"/>
  <c r="B8" i="32"/>
  <c r="B19" i="11"/>
  <c r="T13" i="33"/>
  <c r="X13" i="33" s="1"/>
  <c r="T14" i="33"/>
  <c r="X14" i="33" s="1"/>
  <c r="T19" i="33"/>
  <c r="X19" i="33" s="1"/>
  <c r="D14" i="32" a="1"/>
  <c r="T11" i="32" a="1"/>
  <c r="T19" i="32" a="1"/>
  <c r="S18" i="32" a="1"/>
  <c r="T10" i="32" a="1"/>
  <c r="T15" i="32" a="1"/>
  <c r="Q21" i="32" a="1"/>
  <c r="F9" i="32" a="1"/>
  <c r="D21" i="32" a="1"/>
  <c r="F17" i="32" a="1"/>
  <c r="R13" i="32" a="1"/>
  <c r="F19" i="32" a="1"/>
  <c r="Q12" i="32" a="1"/>
  <c r="Q18" i="32" a="1"/>
  <c r="R16" i="32" a="1"/>
  <c r="Q13" i="32" a="1"/>
  <c r="S8" i="32" a="1"/>
  <c r="E13" i="32" a="1"/>
  <c r="C20" i="32" a="1"/>
  <c r="D15" i="32" a="1"/>
  <c r="D17" i="32" a="1"/>
  <c r="R14" i="32" a="1"/>
  <c r="C9" i="32" a="1"/>
  <c r="D9" i="32" a="1"/>
  <c r="S14" i="32" a="1"/>
  <c r="E14" i="32" a="1"/>
  <c r="D19" i="32" a="1"/>
  <c r="S21" i="32" a="1"/>
  <c r="D20" i="32" a="1"/>
  <c r="T16" i="32" a="1"/>
  <c r="R12" i="32" a="1"/>
  <c r="S10" i="32" a="1"/>
  <c r="C12" i="32" a="1"/>
  <c r="Q19" i="32" a="1"/>
  <c r="S13" i="32" a="1"/>
  <c r="S17" i="32" a="1"/>
  <c r="T20" i="32" a="1"/>
  <c r="C14" i="32" a="1"/>
  <c r="F12" i="32" a="1"/>
  <c r="R18" i="32" a="1"/>
  <c r="R17" i="32" a="1"/>
  <c r="E17" i="32" a="1"/>
  <c r="Q14" i="32" a="1"/>
  <c r="D10" i="32" a="1"/>
  <c r="F10" i="32" a="1"/>
  <c r="E18" i="32" a="1"/>
  <c r="F8" i="32" a="1"/>
  <c r="C19" i="32" a="1"/>
  <c r="E8" i="32" a="1"/>
  <c r="Q17" i="32" a="1"/>
  <c r="T8" i="32" a="1"/>
  <c r="F11" i="32" a="1"/>
  <c r="C13" i="32" a="1"/>
  <c r="C16" i="32" a="1"/>
  <c r="T17" i="32" a="1"/>
  <c r="D18" i="32" a="1"/>
  <c r="R15" i="32" a="1"/>
  <c r="Q20" i="32" a="1"/>
  <c r="T18" i="32" a="1"/>
  <c r="S20" i="32" a="1"/>
  <c r="Q11" i="32" a="1"/>
  <c r="Q9" i="32" a="1"/>
  <c r="F18" i="32" a="1"/>
  <c r="S16" i="32" a="1"/>
  <c r="F16" i="32" a="1"/>
  <c r="C18" i="32" a="1"/>
  <c r="R20" i="32" a="1"/>
  <c r="S9" i="32" a="1"/>
  <c r="D11" i="32" a="1"/>
  <c r="S12" i="32" a="1"/>
  <c r="T12" i="32" a="1"/>
  <c r="R19" i="32" a="1"/>
  <c r="R10" i="32" a="1"/>
  <c r="T21" i="32" a="1"/>
  <c r="E11" i="32" a="1"/>
  <c r="R21" i="32" a="1"/>
  <c r="F20" i="32" a="1"/>
  <c r="D16" i="32" a="1"/>
  <c r="E9" i="32" a="1"/>
  <c r="F15" i="32" a="1"/>
  <c r="S11" i="32" a="1"/>
  <c r="F13" i="32" a="1"/>
  <c r="T13" i="32" a="1"/>
  <c r="F21" i="32" a="1"/>
  <c r="F14" i="32" a="1"/>
  <c r="E19" i="32" a="1"/>
  <c r="T9" i="32" a="1"/>
  <c r="R11" i="32" a="1"/>
  <c r="T14" i="32" a="1"/>
  <c r="R9" i="32" a="1"/>
  <c r="Q10" i="32" a="1"/>
  <c r="Q16" i="32" a="1"/>
  <c r="E10" i="32" a="1"/>
  <c r="C10" i="32" a="1"/>
  <c r="D13" i="32" a="1"/>
  <c r="E12" i="32" a="1"/>
  <c r="E15" i="32" a="1"/>
  <c r="E21" i="32" a="1"/>
  <c r="Q15" i="32" a="1"/>
  <c r="R8" i="32" a="1"/>
  <c r="C21" i="32" a="1"/>
  <c r="S19" i="32" a="1"/>
  <c r="S15" i="32" a="1"/>
  <c r="C11" i="32" a="1"/>
  <c r="C17" i="32" a="1"/>
  <c r="D12" i="32" a="1"/>
  <c r="C15" i="32" a="1"/>
  <c r="Q8" i="32" a="1"/>
  <c r="E16" i="32" a="1"/>
  <c r="V4" i="32" l="1"/>
  <c r="AH24" i="32"/>
  <c r="D28" i="34"/>
  <c r="E27" i="34"/>
  <c r="R12" i="32"/>
  <c r="R11" i="32"/>
  <c r="R8" i="32"/>
  <c r="R9" i="32"/>
  <c r="R10" i="32"/>
  <c r="R13" i="32"/>
  <c r="R14" i="32"/>
  <c r="Q14" i="32"/>
  <c r="Q8" i="32"/>
  <c r="Q12" i="32"/>
  <c r="Q11" i="32"/>
  <c r="Q13" i="32"/>
  <c r="Q10" i="32"/>
  <c r="Q9" i="32"/>
  <c r="T18" i="33"/>
  <c r="X18" i="33" s="1"/>
  <c r="T16" i="33"/>
  <c r="X16" i="33" s="1"/>
  <c r="T15" i="33"/>
  <c r="X15" i="33" s="1"/>
  <c r="S10" i="32"/>
  <c r="S14" i="32"/>
  <c r="S8" i="32"/>
  <c r="T14" i="32"/>
  <c r="S13" i="32"/>
  <c r="T13" i="32"/>
  <c r="S12" i="32"/>
  <c r="T12" i="32"/>
  <c r="S11" i="32"/>
  <c r="T11" i="32"/>
  <c r="T10" i="32"/>
  <c r="S9" i="32"/>
  <c r="T9" i="32"/>
  <c r="T8" i="32"/>
  <c r="T17" i="33"/>
  <c r="X17" i="33" s="1"/>
  <c r="D2" i="11"/>
  <c r="D16" i="32"/>
  <c r="C18" i="32"/>
  <c r="C10" i="32"/>
  <c r="C19" i="32"/>
  <c r="C17" i="32"/>
  <c r="C9" i="32"/>
  <c r="C11" i="32"/>
  <c r="C16" i="32"/>
  <c r="C15" i="32"/>
  <c r="C14" i="32"/>
  <c r="C21" i="32"/>
  <c r="C13" i="32"/>
  <c r="C20" i="32"/>
  <c r="C12" i="32"/>
  <c r="V16" i="33"/>
  <c r="V8" i="33"/>
  <c r="Z8" i="33" s="1"/>
  <c r="V17" i="33"/>
  <c r="Z17" i="33" s="1"/>
  <c r="V15" i="33"/>
  <c r="Z15" i="33" s="1"/>
  <c r="V7" i="33"/>
  <c r="Z7" i="33" s="1"/>
  <c r="V9" i="33"/>
  <c r="Z9" i="33" s="1"/>
  <c r="V14" i="33"/>
  <c r="Z14" i="33" s="1"/>
  <c r="V13" i="33"/>
  <c r="Z13" i="33" s="1"/>
  <c r="V12" i="33"/>
  <c r="Z12" i="33" s="1"/>
  <c r="V19" i="33"/>
  <c r="Z19" i="33" s="1"/>
  <c r="V11" i="33"/>
  <c r="Z11" i="33" s="1"/>
  <c r="C2" i="11"/>
  <c r="V18" i="33"/>
  <c r="Z18" i="33" s="1"/>
  <c r="V10" i="33"/>
  <c r="Z10" i="33" s="1"/>
  <c r="R21" i="32"/>
  <c r="Q21" i="32"/>
  <c r="R20" i="32"/>
  <c r="Q20" i="32"/>
  <c r="R19" i="32"/>
  <c r="Q19" i="32"/>
  <c r="R18" i="32"/>
  <c r="Q18" i="32"/>
  <c r="R17" i="32"/>
  <c r="Q17" i="32"/>
  <c r="R16" i="32"/>
  <c r="Q16" i="32"/>
  <c r="R15" i="32"/>
  <c r="Q15" i="32"/>
  <c r="U19" i="33"/>
  <c r="Y19" i="33" s="1"/>
  <c r="U18" i="33"/>
  <c r="Y18" i="33" s="1"/>
  <c r="U17" i="33"/>
  <c r="Y17" i="33" s="1"/>
  <c r="U16" i="33"/>
  <c r="U15" i="33"/>
  <c r="Y15" i="33" s="1"/>
  <c r="U14" i="33"/>
  <c r="Y14" i="33" s="1"/>
  <c r="U13" i="33"/>
  <c r="Y13" i="33" s="1"/>
  <c r="F19" i="32"/>
  <c r="F11" i="32"/>
  <c r="S17" i="32"/>
  <c r="T16" i="32"/>
  <c r="E18" i="32"/>
  <c r="F18" i="32"/>
  <c r="F10" i="32"/>
  <c r="S16" i="32"/>
  <c r="T15" i="32"/>
  <c r="E19" i="32"/>
  <c r="E10" i="32"/>
  <c r="E9" i="32"/>
  <c r="F17" i="32"/>
  <c r="F9" i="32"/>
  <c r="S15" i="32"/>
  <c r="E11" i="32"/>
  <c r="E17" i="32"/>
  <c r="E16" i="32"/>
  <c r="F16" i="32"/>
  <c r="F8" i="32"/>
  <c r="T21" i="32"/>
  <c r="F15" i="32"/>
  <c r="S21" i="32"/>
  <c r="T20" i="32"/>
  <c r="E15" i="32"/>
  <c r="E14" i="32"/>
  <c r="E8" i="32"/>
  <c r="F14" i="32"/>
  <c r="S20" i="32"/>
  <c r="T19" i="32"/>
  <c r="E21" i="32"/>
  <c r="E13" i="32"/>
  <c r="F21" i="32"/>
  <c r="F13" i="32"/>
  <c r="S19" i="32"/>
  <c r="T18" i="32"/>
  <c r="E12" i="32"/>
  <c r="F20" i="32"/>
  <c r="F12" i="32"/>
  <c r="S18" i="32"/>
  <c r="T17" i="32"/>
  <c r="D15" i="32"/>
  <c r="D19" i="32"/>
  <c r="D11" i="32"/>
  <c r="D18" i="32"/>
  <c r="D14" i="32"/>
  <c r="D10" i="32"/>
  <c r="D21" i="32"/>
  <c r="D17" i="32"/>
  <c r="D13" i="32"/>
  <c r="D9" i="32"/>
  <c r="D20" i="32"/>
  <c r="D12" i="32"/>
  <c r="E2" i="11"/>
  <c r="F2" i="11"/>
  <c r="K23" i="32" a="1"/>
  <c r="G8" i="32" a="1"/>
  <c r="K22" i="32" a="1"/>
  <c r="K24" i="32" a="1"/>
  <c r="Z32" i="32" l="1"/>
  <c r="W32" i="32"/>
  <c r="AJ32" i="32" s="1"/>
  <c r="Z31" i="32"/>
  <c r="W31" i="32"/>
  <c r="AJ31" i="32" s="1"/>
  <c r="Z30" i="32"/>
  <c r="W30" i="32"/>
  <c r="AJ30" i="32" s="1"/>
  <c r="Z29" i="32"/>
  <c r="W29" i="32"/>
  <c r="AJ29" i="32" s="1"/>
  <c r="W28" i="32"/>
  <c r="W27" i="32"/>
  <c r="Z28" i="32"/>
  <c r="Z27" i="32"/>
  <c r="D29" i="34"/>
  <c r="E28" i="34"/>
  <c r="K24" i="32"/>
  <c r="V24" i="32"/>
  <c r="AI24" i="32" s="1"/>
  <c r="Y24" i="32"/>
  <c r="AF24" i="32"/>
  <c r="X12" i="32"/>
  <c r="U13" i="32"/>
  <c r="AH13" i="32" s="1"/>
  <c r="X14" i="32"/>
  <c r="X13" i="32"/>
  <c r="U14" i="32"/>
  <c r="AH14" i="32" s="1"/>
  <c r="U12" i="32"/>
  <c r="AH12" i="32" s="1"/>
  <c r="AF23" i="32"/>
  <c r="K23" i="32"/>
  <c r="Y23" i="32"/>
  <c r="V23" i="32"/>
  <c r="AI23" i="32" s="1"/>
  <c r="Y10" i="32"/>
  <c r="Y9" i="32"/>
  <c r="X8" i="32"/>
  <c r="Y8" i="32"/>
  <c r="Y11" i="32"/>
  <c r="X9" i="32"/>
  <c r="Y12" i="32"/>
  <c r="X10" i="32"/>
  <c r="Y13" i="32"/>
  <c r="V8" i="32"/>
  <c r="AI8" i="32" s="1"/>
  <c r="V11" i="32"/>
  <c r="AI11" i="32" s="1"/>
  <c r="V9" i="32"/>
  <c r="AI9" i="32" s="1"/>
  <c r="U8" i="32"/>
  <c r="AH8" i="32" s="1"/>
  <c r="V10" i="32"/>
  <c r="AI10" i="32" s="1"/>
  <c r="Y14" i="32"/>
  <c r="X11" i="32"/>
  <c r="U9" i="32"/>
  <c r="AH9" i="32" s="1"/>
  <c r="V12" i="32"/>
  <c r="AI12" i="32" s="1"/>
  <c r="V14" i="32"/>
  <c r="AI14" i="32" s="1"/>
  <c r="U11" i="32"/>
  <c r="AH11" i="32" s="1"/>
  <c r="U10" i="32"/>
  <c r="AH10" i="32" s="1"/>
  <c r="V13" i="32"/>
  <c r="AI13" i="32" s="1"/>
  <c r="AF22" i="32"/>
  <c r="K22" i="32"/>
  <c r="Y22" i="32"/>
  <c r="V22" i="32"/>
  <c r="AI22" i="32" s="1"/>
  <c r="Y16" i="33"/>
  <c r="C4" i="32"/>
  <c r="Z16" i="33"/>
  <c r="U20" i="32"/>
  <c r="AH20" i="32" s="1"/>
  <c r="X20" i="32"/>
  <c r="X19" i="32"/>
  <c r="X21" i="32"/>
  <c r="U19" i="32"/>
  <c r="AH19" i="32" s="1"/>
  <c r="U21" i="32"/>
  <c r="AH21" i="32" s="1"/>
  <c r="G8" i="32"/>
  <c r="AE8" i="32" s="1"/>
  <c r="V16" i="32"/>
  <c r="AI16" i="32" s="1"/>
  <c r="V18" i="32"/>
  <c r="AI18" i="32" s="1"/>
  <c r="V17" i="32"/>
  <c r="AI17" i="32" s="1"/>
  <c r="V15" i="32"/>
  <c r="AI15" i="32" s="1"/>
  <c r="U15" i="32"/>
  <c r="AH15" i="32" s="1"/>
  <c r="F4" i="32"/>
  <c r="E4" i="32"/>
  <c r="X18" i="32"/>
  <c r="Y21" i="32"/>
  <c r="V20" i="32"/>
  <c r="AI20" i="32" s="1"/>
  <c r="U17" i="32"/>
  <c r="AH17" i="32" s="1"/>
  <c r="Y20" i="32"/>
  <c r="X17" i="32"/>
  <c r="Y17" i="32"/>
  <c r="X15" i="32"/>
  <c r="Y16" i="32"/>
  <c r="Y18" i="32"/>
  <c r="Y15" i="32"/>
  <c r="X16" i="32"/>
  <c r="Y19" i="32"/>
  <c r="V21" i="32"/>
  <c r="AI21" i="32" s="1"/>
  <c r="U18" i="32"/>
  <c r="AH18" i="32" s="1"/>
  <c r="U16" i="32"/>
  <c r="AH16" i="32" s="1"/>
  <c r="V19" i="32"/>
  <c r="AI19" i="32" s="1"/>
  <c r="D4" i="32"/>
  <c r="R4" i="32"/>
  <c r="E5" i="18"/>
  <c r="E46" i="18"/>
  <c r="E6" i="18"/>
  <c r="E8" i="18"/>
  <c r="E9" i="18"/>
  <c r="E10" i="18"/>
  <c r="E11" i="18"/>
  <c r="E12" i="18"/>
  <c r="E14" i="18"/>
  <c r="E7" i="18"/>
  <c r="E16" i="18"/>
  <c r="E17" i="18"/>
  <c r="E19" i="18"/>
  <c r="E20" i="18"/>
  <c r="E21" i="18"/>
  <c r="E22" i="18"/>
  <c r="E23" i="18"/>
  <c r="E24" i="18"/>
  <c r="E25" i="18"/>
  <c r="E15" i="18"/>
  <c r="E26" i="18"/>
  <c r="E27" i="18"/>
  <c r="E47" i="18"/>
  <c r="E29" i="18"/>
  <c r="E30" i="18"/>
  <c r="E31" i="18"/>
  <c r="E33" i="18"/>
  <c r="E34" i="18"/>
  <c r="E32" i="18"/>
  <c r="E35" i="18"/>
  <c r="E36" i="18"/>
  <c r="E37" i="18"/>
  <c r="E38" i="18"/>
  <c r="E39" i="18"/>
  <c r="E40" i="18"/>
  <c r="E41" i="18"/>
  <c r="E42" i="18"/>
  <c r="E44" i="18"/>
  <c r="E43" i="18"/>
  <c r="E45" i="18"/>
  <c r="E48" i="18"/>
  <c r="G15" i="18"/>
  <c r="C15" i="18"/>
  <c r="R46" i="18"/>
  <c r="R35" i="18"/>
  <c r="R45" i="18"/>
  <c r="R15" i="18"/>
  <c r="R33" i="18"/>
  <c r="R32" i="18"/>
  <c r="S46" i="18" a="1"/>
  <c r="S46" i="18" s="1"/>
  <c r="S35" i="18" a="1"/>
  <c r="S35" i="18" s="1"/>
  <c r="S45" i="18" a="1"/>
  <c r="S45" i="18" s="1"/>
  <c r="S25" i="18" a="1"/>
  <c r="S25" i="18" s="1"/>
  <c r="S15" i="18" a="1"/>
  <c r="S15" i="18" s="1"/>
  <c r="S33" i="18" a="1"/>
  <c r="S33" i="18" s="1"/>
  <c r="S32" i="18" a="1"/>
  <c r="S32" i="18" s="1"/>
  <c r="S7" i="18" a="1"/>
  <c r="S7" i="18" s="1"/>
  <c r="T46" i="18" a="1"/>
  <c r="T46" i="18" s="1"/>
  <c r="T35" i="18" a="1"/>
  <c r="T35" i="18" s="1"/>
  <c r="T45" i="18" a="1"/>
  <c r="T45" i="18" s="1"/>
  <c r="T25" i="18" a="1"/>
  <c r="T25" i="18" s="1"/>
  <c r="T15" i="18" a="1"/>
  <c r="T15" i="18" s="1"/>
  <c r="T33" i="18" a="1"/>
  <c r="T33" i="18" s="1"/>
  <c r="T32" i="18" a="1"/>
  <c r="T32" i="18" s="1"/>
  <c r="T7" i="18" a="1"/>
  <c r="T7" i="18" s="1"/>
  <c r="U46" i="18" a="1"/>
  <c r="U46" i="18" s="1"/>
  <c r="U35" i="18" a="1"/>
  <c r="U35" i="18" s="1"/>
  <c r="U45" i="18" a="1"/>
  <c r="U45" i="18" s="1"/>
  <c r="U25" i="18" a="1"/>
  <c r="U25" i="18" s="1"/>
  <c r="U15" i="18" a="1"/>
  <c r="U15" i="18" s="1"/>
  <c r="U33" i="18" a="1"/>
  <c r="U33" i="18" s="1"/>
  <c r="U32" i="18" a="1"/>
  <c r="U32" i="18" s="1"/>
  <c r="U7" i="18" a="1"/>
  <c r="U7" i="18" s="1"/>
  <c r="V46" i="18" a="1"/>
  <c r="V46" i="18" s="1"/>
  <c r="V35" i="18" a="1"/>
  <c r="V35" i="18" s="1"/>
  <c r="V45" i="18" a="1"/>
  <c r="V45" i="18" s="1"/>
  <c r="V25" i="18" a="1"/>
  <c r="V25" i="18" s="1"/>
  <c r="V15" i="18" a="1"/>
  <c r="V15" i="18" s="1"/>
  <c r="V33" i="18" a="1"/>
  <c r="V33" i="18" s="1"/>
  <c r="V32" i="18" a="1"/>
  <c r="V32" i="18" s="1"/>
  <c r="V7" i="18" a="1"/>
  <c r="V7" i="18" s="1"/>
  <c r="R5" i="18"/>
  <c r="S5" i="18" a="1"/>
  <c r="S5" i="18" s="1"/>
  <c r="T5" i="18" a="1"/>
  <c r="T5" i="18" s="1"/>
  <c r="U5" i="18" a="1"/>
  <c r="U5" i="18" s="1"/>
  <c r="V5" i="18" a="1"/>
  <c r="V5" i="18" s="1"/>
  <c r="Z4" i="32" l="1"/>
  <c r="AJ28" i="32"/>
  <c r="AJ27" i="32"/>
  <c r="W4" i="32"/>
  <c r="D30" i="34"/>
  <c r="E29" i="34"/>
  <c r="Y4" i="32"/>
  <c r="Q4" i="32"/>
  <c r="D31" i="34" l="1"/>
  <c r="E30" i="34"/>
  <c r="G21" i="32" a="1"/>
  <c r="J21" i="32" a="1"/>
  <c r="D32" i="34" l="1"/>
  <c r="E31" i="34"/>
  <c r="J21" i="32"/>
  <c r="G21" i="32"/>
  <c r="AE21" i="32" s="1"/>
  <c r="B6" i="11"/>
  <c r="B7" i="11"/>
  <c r="B8" i="11"/>
  <c r="B9" i="11"/>
  <c r="B10" i="11"/>
  <c r="B11" i="11"/>
  <c r="B12" i="11"/>
  <c r="B13" i="11"/>
  <c r="B14" i="11"/>
  <c r="B15" i="11"/>
  <c r="B16" i="11"/>
  <c r="B17" i="11"/>
  <c r="B18" i="11"/>
  <c r="D33" i="34" l="1"/>
  <c r="E32" i="34"/>
  <c r="R44" i="18"/>
  <c r="S44" i="18" a="1"/>
  <c r="S44" i="18" s="1"/>
  <c r="T44" i="18" a="1"/>
  <c r="T44" i="18" s="1"/>
  <c r="U44" i="18" a="1"/>
  <c r="U44" i="18" s="1"/>
  <c r="V44" i="18" a="1"/>
  <c r="V44" i="18" s="1"/>
  <c r="D34" i="34" l="1"/>
  <c r="E33" i="34"/>
  <c r="G20" i="32" a="1"/>
  <c r="J20" i="32" a="1"/>
  <c r="D35" i="34" l="1"/>
  <c r="E34" i="34"/>
  <c r="G20" i="32"/>
  <c r="AE20" i="32" s="1"/>
  <c r="J20" i="32"/>
  <c r="J19" i="32" a="1"/>
  <c r="G19" i="32" a="1"/>
  <c r="D36" i="34" l="1"/>
  <c r="E35" i="34"/>
  <c r="G19" i="32"/>
  <c r="AE19" i="32" s="1"/>
  <c r="J19" i="32"/>
  <c r="D37" i="34" l="1"/>
  <c r="E36" i="34"/>
  <c r="D38" i="34" l="1"/>
  <c r="E37" i="34"/>
  <c r="D39" i="34" l="1"/>
  <c r="E38" i="34"/>
  <c r="C2" i="27"/>
  <c r="D2" i="27"/>
  <c r="D40" i="34" l="1"/>
  <c r="E39" i="34"/>
  <c r="E2" i="27"/>
  <c r="F2" i="27"/>
  <c r="K2" i="27"/>
  <c r="H2" i="27"/>
  <c r="K21" i="32" a="1"/>
  <c r="G18" i="32" a="1"/>
  <c r="J18" i="32" a="1"/>
  <c r="D41" i="34" l="1"/>
  <c r="E40" i="34"/>
  <c r="G18" i="32"/>
  <c r="AE18" i="32" s="1"/>
  <c r="K21" i="32"/>
  <c r="J18" i="32"/>
  <c r="H2" i="11"/>
  <c r="K2" i="11"/>
  <c r="D42" i="34" l="1"/>
  <c r="E41" i="34"/>
  <c r="AF21" i="32"/>
  <c r="B22" i="1"/>
  <c r="R37" i="18"/>
  <c r="S37" i="18" a="1"/>
  <c r="S37" i="18" s="1"/>
  <c r="T37" i="18" a="1"/>
  <c r="T37" i="18" s="1"/>
  <c r="U37" i="18" a="1"/>
  <c r="U37" i="18" s="1"/>
  <c r="V37" i="18" a="1"/>
  <c r="V37" i="18" s="1"/>
  <c r="D28" i="28"/>
  <c r="D29" i="28"/>
  <c r="C22" i="28"/>
  <c r="K22" i="28" s="1"/>
  <c r="C21" i="28"/>
  <c r="K21" i="28" s="1"/>
  <c r="D43" i="34" l="1"/>
  <c r="E42" i="34"/>
  <c r="C9" i="28"/>
  <c r="K9" i="28" s="1"/>
  <c r="C10" i="28"/>
  <c r="K10" i="28" s="1"/>
  <c r="C11" i="28"/>
  <c r="K11" i="28" s="1"/>
  <c r="C12" i="28"/>
  <c r="K12" i="28" s="1"/>
  <c r="C13" i="28"/>
  <c r="K13" i="28" s="1"/>
  <c r="C14" i="28"/>
  <c r="K14" i="28" s="1"/>
  <c r="C15" i="28"/>
  <c r="K15" i="28" s="1"/>
  <c r="G17" i="32" a="1"/>
  <c r="K20" i="32" a="1"/>
  <c r="J17" i="32" a="1"/>
  <c r="Q15" i="2" l="1"/>
  <c r="AF20" i="32"/>
  <c r="G17" i="32"/>
  <c r="AE17" i="32" s="1"/>
  <c r="J17" i="32"/>
  <c r="K20" i="32"/>
  <c r="K30" i="28"/>
  <c r="K23" i="28"/>
  <c r="K19" i="28"/>
  <c r="K16" i="28"/>
  <c r="C8" i="28"/>
  <c r="K8" i="28" s="1"/>
  <c r="C17" i="28"/>
  <c r="K17" i="28" s="1"/>
  <c r="C18" i="28"/>
  <c r="K18" i="28" s="1"/>
  <c r="C20" i="28"/>
  <c r="K20" i="28" s="1"/>
  <c r="C24" i="28"/>
  <c r="K24" i="28" s="1"/>
  <c r="C25" i="28"/>
  <c r="K25" i="28" s="1"/>
  <c r="C26" i="28"/>
  <c r="K26" i="28" s="1"/>
  <c r="C27" i="28"/>
  <c r="K27" i="28" s="1"/>
  <c r="C28" i="28"/>
  <c r="K28" i="28" s="1"/>
  <c r="C29" i="28"/>
  <c r="K29" i="28" s="1"/>
  <c r="C7" i="28"/>
  <c r="K7" i="28" s="1"/>
  <c r="K6" i="28"/>
  <c r="C1" i="28"/>
  <c r="D1" i="28" s="1"/>
  <c r="B2" i="1" l="1"/>
  <c r="V41" i="18" a="1"/>
  <c r="V41" i="18" s="1"/>
  <c r="V48" i="18" a="1"/>
  <c r="V48" i="18" s="1"/>
  <c r="V29" i="18" a="1"/>
  <c r="V29" i="18" s="1"/>
  <c r="V24" i="18" a="1"/>
  <c r="V24" i="18" s="1"/>
  <c r="V23" i="18" a="1"/>
  <c r="V23" i="18" s="1"/>
  <c r="V20" i="18" a="1"/>
  <c r="V20" i="18" s="1"/>
  <c r="V40" i="18" a="1"/>
  <c r="V40" i="18" s="1"/>
  <c r="V47" i="18" a="1"/>
  <c r="V47" i="18" s="1"/>
  <c r="V16" i="18" a="1"/>
  <c r="V16" i="18" s="1"/>
  <c r="V22" i="18" a="1"/>
  <c r="V22" i="18" s="1"/>
  <c r="V11" i="18" a="1"/>
  <c r="V11" i="18" s="1"/>
  <c r="V6" i="18" a="1"/>
  <c r="V6" i="18" s="1"/>
  <c r="V10" i="18" a="1"/>
  <c r="V10" i="18" s="1"/>
  <c r="V42" i="18" a="1"/>
  <c r="V42" i="18" s="1"/>
  <c r="V43" i="18" a="1"/>
  <c r="V43" i="18" s="1"/>
  <c r="V39" i="18" a="1"/>
  <c r="V39" i="18" s="1"/>
  <c r="V38" i="18" a="1"/>
  <c r="V38" i="18" s="1"/>
  <c r="V36" i="18" a="1"/>
  <c r="V36" i="18" s="1"/>
  <c r="V34" i="18" a="1"/>
  <c r="V34" i="18" s="1"/>
  <c r="V19" i="18" a="1"/>
  <c r="V19" i="18" s="1"/>
  <c r="V31" i="18" a="1"/>
  <c r="V31" i="18" s="1"/>
  <c r="V30" i="18" a="1"/>
  <c r="V30" i="18" s="1"/>
  <c r="V26" i="18" a="1"/>
  <c r="V26" i="18" s="1"/>
  <c r="V17" i="18" a="1"/>
  <c r="V17" i="18" s="1"/>
  <c r="V27" i="18" a="1"/>
  <c r="V27" i="18" s="1"/>
  <c r="V21" i="18" a="1"/>
  <c r="V21" i="18" s="1"/>
  <c r="V14" i="18" a="1"/>
  <c r="V14" i="18" s="1"/>
  <c r="V12" i="18" a="1"/>
  <c r="V12" i="18" s="1"/>
  <c r="V9" i="18" a="1"/>
  <c r="V9" i="18" s="1"/>
  <c r="V8" i="18" a="1"/>
  <c r="V8" i="18" s="1"/>
  <c r="U41" i="18" a="1"/>
  <c r="U41" i="18" s="1"/>
  <c r="U48" i="18" a="1"/>
  <c r="U48" i="18" s="1"/>
  <c r="U29" i="18" a="1"/>
  <c r="U29" i="18" s="1"/>
  <c r="U24" i="18" a="1"/>
  <c r="U24" i="18" s="1"/>
  <c r="U23" i="18" a="1"/>
  <c r="U23" i="18" s="1"/>
  <c r="U20" i="18" a="1"/>
  <c r="U20" i="18" s="1"/>
  <c r="U40" i="18" a="1"/>
  <c r="U40" i="18" s="1"/>
  <c r="U47" i="18" a="1"/>
  <c r="U47" i="18" s="1"/>
  <c r="U16" i="18" a="1"/>
  <c r="U16" i="18" s="1"/>
  <c r="U22" i="18" a="1"/>
  <c r="U22" i="18" s="1"/>
  <c r="U11" i="18" a="1"/>
  <c r="U11" i="18" s="1"/>
  <c r="U6" i="18" a="1"/>
  <c r="U6" i="18" s="1"/>
  <c r="U10" i="18" a="1"/>
  <c r="U10" i="18" s="1"/>
  <c r="U42" i="18" a="1"/>
  <c r="U42" i="18" s="1"/>
  <c r="U43" i="18" a="1"/>
  <c r="U43" i="18" s="1"/>
  <c r="U39" i="18" a="1"/>
  <c r="U39" i="18" s="1"/>
  <c r="U38" i="18" a="1"/>
  <c r="U38" i="18" s="1"/>
  <c r="U36" i="18" a="1"/>
  <c r="U36" i="18" s="1"/>
  <c r="U34" i="18" a="1"/>
  <c r="U34" i="18" s="1"/>
  <c r="U19" i="18" a="1"/>
  <c r="U19" i="18" s="1"/>
  <c r="U31" i="18" a="1"/>
  <c r="U31" i="18" s="1"/>
  <c r="U30" i="18" a="1"/>
  <c r="U30" i="18" s="1"/>
  <c r="U26" i="18" a="1"/>
  <c r="U26" i="18" s="1"/>
  <c r="U17" i="18" a="1"/>
  <c r="U17" i="18" s="1"/>
  <c r="U27" i="18" a="1"/>
  <c r="U27" i="18" s="1"/>
  <c r="U21" i="18" a="1"/>
  <c r="U21" i="18" s="1"/>
  <c r="U14" i="18" a="1"/>
  <c r="U14" i="18" s="1"/>
  <c r="U12" i="18" a="1"/>
  <c r="U12" i="18" s="1"/>
  <c r="U9" i="18" a="1"/>
  <c r="U9" i="18" s="1"/>
  <c r="U8" i="18" a="1"/>
  <c r="U8" i="18" s="1"/>
  <c r="T41" i="18" a="1"/>
  <c r="T41" i="18" s="1"/>
  <c r="T48" i="18" a="1"/>
  <c r="T48" i="18" s="1"/>
  <c r="T29" i="18" a="1"/>
  <c r="T29" i="18" s="1"/>
  <c r="T24" i="18" a="1"/>
  <c r="T24" i="18" s="1"/>
  <c r="T23" i="18" a="1"/>
  <c r="T23" i="18" s="1"/>
  <c r="T20" i="18" a="1"/>
  <c r="T20" i="18" s="1"/>
  <c r="T40" i="18" a="1"/>
  <c r="T40" i="18" s="1"/>
  <c r="T47" i="18" a="1"/>
  <c r="T47" i="18" s="1"/>
  <c r="T16" i="18" a="1"/>
  <c r="T16" i="18" s="1"/>
  <c r="T22" i="18" a="1"/>
  <c r="T22" i="18" s="1"/>
  <c r="T11" i="18" a="1"/>
  <c r="T11" i="18" s="1"/>
  <c r="T6" i="18" a="1"/>
  <c r="T6" i="18" s="1"/>
  <c r="T10" i="18" a="1"/>
  <c r="T10" i="18" s="1"/>
  <c r="T42" i="18" a="1"/>
  <c r="T42" i="18" s="1"/>
  <c r="T43" i="18" a="1"/>
  <c r="T43" i="18" s="1"/>
  <c r="T39" i="18" a="1"/>
  <c r="T39" i="18" s="1"/>
  <c r="T38" i="18" a="1"/>
  <c r="T38" i="18" s="1"/>
  <c r="T36" i="18" a="1"/>
  <c r="T36" i="18" s="1"/>
  <c r="T34" i="18" a="1"/>
  <c r="T34" i="18" s="1"/>
  <c r="T19" i="18" a="1"/>
  <c r="T19" i="18" s="1"/>
  <c r="T31" i="18" a="1"/>
  <c r="T31" i="18" s="1"/>
  <c r="T30" i="18" a="1"/>
  <c r="T30" i="18" s="1"/>
  <c r="T26" i="18" a="1"/>
  <c r="T26" i="18" s="1"/>
  <c r="T17" i="18" a="1"/>
  <c r="T17" i="18" s="1"/>
  <c r="T27" i="18" a="1"/>
  <c r="T27" i="18" s="1"/>
  <c r="T21" i="18" a="1"/>
  <c r="T21" i="18" s="1"/>
  <c r="T14" i="18" a="1"/>
  <c r="T14" i="18" s="1"/>
  <c r="T12" i="18" a="1"/>
  <c r="T12" i="18" s="1"/>
  <c r="T9" i="18" a="1"/>
  <c r="T9" i="18" s="1"/>
  <c r="T8" i="18" a="1"/>
  <c r="T8" i="18" s="1"/>
  <c r="S41" i="18" a="1"/>
  <c r="S41" i="18" s="1"/>
  <c r="S48" i="18" a="1"/>
  <c r="S48" i="18" s="1"/>
  <c r="S29" i="18" a="1"/>
  <c r="S29" i="18" s="1"/>
  <c r="S24" i="18" a="1"/>
  <c r="S24" i="18" s="1"/>
  <c r="S23" i="18" a="1"/>
  <c r="S23" i="18" s="1"/>
  <c r="S20" i="18" a="1"/>
  <c r="S20" i="18" s="1"/>
  <c r="S40" i="18" a="1"/>
  <c r="S40" i="18" s="1"/>
  <c r="S47" i="18" a="1"/>
  <c r="S47" i="18" s="1"/>
  <c r="S16" i="18" a="1"/>
  <c r="S16" i="18" s="1"/>
  <c r="S22" i="18" a="1"/>
  <c r="S22" i="18" s="1"/>
  <c r="S11" i="18" a="1"/>
  <c r="S11" i="18" s="1"/>
  <c r="S6" i="18" a="1"/>
  <c r="S6" i="18" s="1"/>
  <c r="S10" i="18" a="1"/>
  <c r="S10" i="18" s="1"/>
  <c r="S42" i="18" a="1"/>
  <c r="S42" i="18" s="1"/>
  <c r="S43" i="18" a="1"/>
  <c r="S43" i="18" s="1"/>
  <c r="S39" i="18" a="1"/>
  <c r="S39" i="18" s="1"/>
  <c r="S38" i="18" a="1"/>
  <c r="S38" i="18" s="1"/>
  <c r="S36" i="18" a="1"/>
  <c r="S36" i="18" s="1"/>
  <c r="S34" i="18" a="1"/>
  <c r="S34" i="18" s="1"/>
  <c r="S19" i="18" a="1"/>
  <c r="S19" i="18" s="1"/>
  <c r="S31" i="18" a="1"/>
  <c r="S31" i="18" s="1"/>
  <c r="S30" i="18" a="1"/>
  <c r="S30" i="18" s="1"/>
  <c r="S26" i="18" a="1"/>
  <c r="S26" i="18" s="1"/>
  <c r="S17" i="18" a="1"/>
  <c r="S17" i="18" s="1"/>
  <c r="S27" i="18" a="1"/>
  <c r="S27" i="18" s="1"/>
  <c r="S21" i="18" a="1"/>
  <c r="S21" i="18" s="1"/>
  <c r="S14" i="18" a="1"/>
  <c r="S14" i="18" s="1"/>
  <c r="S12" i="18" a="1"/>
  <c r="S12" i="18" s="1"/>
  <c r="S9" i="18" a="1"/>
  <c r="S9" i="18" s="1"/>
  <c r="S8" i="18" a="1"/>
  <c r="S8" i="18" s="1"/>
  <c r="P27" i="38" l="1"/>
  <c r="D27" i="38"/>
  <c r="J26" i="38"/>
  <c r="J27" i="38"/>
  <c r="P26" i="38"/>
  <c r="D26" i="38"/>
  <c r="P23" i="38"/>
  <c r="J23" i="38"/>
  <c r="D23" i="38"/>
  <c r="D24" i="38"/>
  <c r="J24" i="38"/>
  <c r="P24" i="38"/>
  <c r="W17" i="38" s="1"/>
  <c r="X17" i="38" s="1"/>
  <c r="P25" i="38"/>
  <c r="D25" i="38"/>
  <c r="J25" i="38"/>
  <c r="P15" i="38"/>
  <c r="P13" i="38"/>
  <c r="J21" i="38"/>
  <c r="D18" i="38"/>
  <c r="P16" i="38"/>
  <c r="J14" i="38"/>
  <c r="J22" i="38"/>
  <c r="D19" i="38"/>
  <c r="P17" i="38"/>
  <c r="J15" i="38"/>
  <c r="J13" i="38"/>
  <c r="D20" i="38"/>
  <c r="P18" i="38"/>
  <c r="J16" i="38"/>
  <c r="D13" i="38"/>
  <c r="D21" i="38"/>
  <c r="P19" i="38"/>
  <c r="J17" i="38"/>
  <c r="D14" i="38"/>
  <c r="D22" i="38"/>
  <c r="P20" i="38"/>
  <c r="J18" i="38"/>
  <c r="D15" i="38"/>
  <c r="P21" i="38"/>
  <c r="J19" i="38"/>
  <c r="D16" i="38"/>
  <c r="P14" i="38"/>
  <c r="P22" i="38"/>
  <c r="J20" i="38"/>
  <c r="D17" i="38"/>
  <c r="C2" i="28"/>
  <c r="C3" i="28"/>
  <c r="G16" i="32" a="1"/>
  <c r="K17" i="32" a="1"/>
  <c r="J16" i="32" a="1"/>
  <c r="K16" i="32" a="1"/>
  <c r="K18" i="32" a="1"/>
  <c r="K19" i="32" a="1"/>
  <c r="U16" i="38" l="1"/>
  <c r="U14" i="38" s="1"/>
  <c r="W16" i="38"/>
  <c r="W14" i="38" s="1"/>
  <c r="E26" i="38"/>
  <c r="Q27" i="38"/>
  <c r="K26" i="38"/>
  <c r="E27" i="38"/>
  <c r="Q26" i="38"/>
  <c r="K27" i="38"/>
  <c r="W20" i="38"/>
  <c r="U20" i="38"/>
  <c r="U10" i="38"/>
  <c r="X10" i="38" s="1"/>
  <c r="E25" i="38"/>
  <c r="Q23" i="38"/>
  <c r="K24" i="38"/>
  <c r="K23" i="38"/>
  <c r="E24" i="38"/>
  <c r="E23" i="38"/>
  <c r="Q25" i="38"/>
  <c r="Q24" i="38"/>
  <c r="AB17" i="38" s="1"/>
  <c r="AC17" i="38" s="1"/>
  <c r="AE17" i="38" s="1"/>
  <c r="K25" i="38"/>
  <c r="V3" i="38"/>
  <c r="X3" i="38" s="1"/>
  <c r="U11" i="38"/>
  <c r="U7" i="38"/>
  <c r="U6" i="38"/>
  <c r="V11" i="38"/>
  <c r="V9" i="38" s="1"/>
  <c r="V7" i="38"/>
  <c r="V5" i="38" s="1"/>
  <c r="W6" i="38"/>
  <c r="W7" i="38"/>
  <c r="Q20" i="38"/>
  <c r="K14" i="38"/>
  <c r="E17" i="38"/>
  <c r="E13" i="38"/>
  <c r="Q18" i="38"/>
  <c r="K19" i="38"/>
  <c r="E15" i="38"/>
  <c r="E21" i="38"/>
  <c r="E19" i="38"/>
  <c r="Q13" i="38"/>
  <c r="K17" i="38"/>
  <c r="K13" i="38"/>
  <c r="K21" i="38"/>
  <c r="Q15" i="38"/>
  <c r="Q21" i="38"/>
  <c r="K15" i="38"/>
  <c r="Q17" i="38"/>
  <c r="E16" i="38"/>
  <c r="E22" i="38"/>
  <c r="Q19" i="38"/>
  <c r="E18" i="38"/>
  <c r="K18" i="38"/>
  <c r="E14" i="38"/>
  <c r="E20" i="38"/>
  <c r="K20" i="38"/>
  <c r="Q22" i="38"/>
  <c r="K16" i="38"/>
  <c r="K22" i="38"/>
  <c r="Q16" i="38"/>
  <c r="Q14" i="38"/>
  <c r="AF10" i="32"/>
  <c r="AF18" i="32"/>
  <c r="J16" i="32"/>
  <c r="AF16" i="32"/>
  <c r="K17" i="32"/>
  <c r="AF17" i="32"/>
  <c r="G16" i="32"/>
  <c r="AE16" i="32" s="1"/>
  <c r="K19" i="32"/>
  <c r="K16" i="32"/>
  <c r="K18" i="32"/>
  <c r="AF19" i="32"/>
  <c r="S4" i="32"/>
  <c r="T4" i="32"/>
  <c r="Q21" i="2"/>
  <c r="M22" i="2"/>
  <c r="Q22" i="2"/>
  <c r="M21" i="2"/>
  <c r="M16" i="2"/>
  <c r="Q10" i="2"/>
  <c r="M15" i="2"/>
  <c r="U15" i="2" s="1"/>
  <c r="Q16" i="2"/>
  <c r="M10" i="2"/>
  <c r="M9" i="2"/>
  <c r="Q9" i="2"/>
  <c r="F6" i="28"/>
  <c r="L6" i="28" s="1"/>
  <c r="H6" i="28"/>
  <c r="P2" i="18"/>
  <c r="L10" i="27" l="1"/>
  <c r="L8" i="27"/>
  <c r="L9" i="27"/>
  <c r="L7" i="27"/>
  <c r="L6" i="27"/>
  <c r="L11" i="27"/>
  <c r="U21" i="2"/>
  <c r="U9" i="2"/>
  <c r="U22" i="2"/>
  <c r="U16" i="2"/>
  <c r="U10" i="2"/>
  <c r="AB16" i="38"/>
  <c r="AB14" i="38" s="1"/>
  <c r="X16" i="38"/>
  <c r="X14" i="38" s="1"/>
  <c r="X20" i="38"/>
  <c r="AB20" i="38"/>
  <c r="U9" i="38"/>
  <c r="Z16" i="38"/>
  <c r="Z14" i="38" s="1"/>
  <c r="Z20" i="38"/>
  <c r="X6" i="38"/>
  <c r="U5" i="38"/>
  <c r="W5" i="38"/>
  <c r="X7" i="38"/>
  <c r="X11" i="38"/>
  <c r="X9" i="38" s="1"/>
  <c r="AA3" i="38"/>
  <c r="AC3" i="38" s="1"/>
  <c r="AE3" i="38" s="1"/>
  <c r="Z7" i="38"/>
  <c r="Z11" i="38"/>
  <c r="AA7" i="38"/>
  <c r="AA5" i="38" s="1"/>
  <c r="AA11" i="38"/>
  <c r="AA9" i="38" s="1"/>
  <c r="AB7" i="38"/>
  <c r="Z6" i="38"/>
  <c r="Z10" i="38"/>
  <c r="AB6" i="38"/>
  <c r="O6" i="28"/>
  <c r="M7" i="28"/>
  <c r="D26" i="28"/>
  <c r="D22" i="28"/>
  <c r="D27" i="28"/>
  <c r="D25" i="28"/>
  <c r="AC20" i="38" l="1"/>
  <c r="AE20" i="38" s="1"/>
  <c r="AC16" i="38"/>
  <c r="AC14" i="38" s="1"/>
  <c r="AE14" i="38" s="1"/>
  <c r="X5" i="38"/>
  <c r="AC11" i="38"/>
  <c r="AE11" i="38" s="1"/>
  <c r="AB5" i="38"/>
  <c r="Z9" i="38"/>
  <c r="AC10" i="38"/>
  <c r="Z5" i="38"/>
  <c r="AC6" i="38"/>
  <c r="AC7" i="38"/>
  <c r="AE7" i="38" s="1"/>
  <c r="D12" i="28"/>
  <c r="D9" i="28"/>
  <c r="D14" i="28"/>
  <c r="D13" i="28"/>
  <c r="D15" i="28"/>
  <c r="D11" i="28"/>
  <c r="D10" i="28"/>
  <c r="D18" i="28"/>
  <c r="D17" i="28"/>
  <c r="AE16" i="38" l="1"/>
  <c r="AC5" i="38"/>
  <c r="AE5" i="38" s="1"/>
  <c r="AE6" i="38"/>
  <c r="AC9" i="38"/>
  <c r="AE9" i="38" s="1"/>
  <c r="AE10" i="38"/>
  <c r="B8" i="8" l="1"/>
  <c r="K15" i="32" a="1"/>
  <c r="G12" i="32" a="1"/>
  <c r="K14" i="32" a="1"/>
  <c r="G11" i="32" a="1"/>
  <c r="J9" i="32" a="1"/>
  <c r="J12" i="32" a="1"/>
  <c r="J10" i="32" a="1"/>
  <c r="J13" i="32" a="1"/>
  <c r="G15" i="32" a="1"/>
  <c r="G14" i="32" a="1"/>
  <c r="G13" i="32" a="1"/>
  <c r="K13" i="32" a="1"/>
  <c r="J11" i="32" a="1"/>
  <c r="K12" i="32" a="1"/>
  <c r="J14" i="32" a="1"/>
  <c r="J15" i="32" a="1"/>
  <c r="AF13" i="32" l="1"/>
  <c r="K13" i="32"/>
  <c r="K15" i="32"/>
  <c r="J11" i="32"/>
  <c r="AF14" i="32"/>
  <c r="AF15" i="32"/>
  <c r="G11" i="32"/>
  <c r="AE11" i="32" s="1"/>
  <c r="AF11" i="32"/>
  <c r="J15" i="32"/>
  <c r="G15" i="32"/>
  <c r="AE15" i="32" s="1"/>
  <c r="G13" i="32"/>
  <c r="AE13" i="32" s="1"/>
  <c r="AF12" i="32"/>
  <c r="K12" i="32"/>
  <c r="G14" i="32"/>
  <c r="AE14" i="32" s="1"/>
  <c r="J9" i="32"/>
  <c r="J14" i="32"/>
  <c r="J12" i="32"/>
  <c r="G12" i="32"/>
  <c r="AE12" i="32" s="1"/>
  <c r="J10" i="32"/>
  <c r="K14" i="32"/>
  <c r="J13" i="32"/>
  <c r="G10" i="32" a="1"/>
  <c r="G9" i="32" a="1"/>
  <c r="G9" i="32" l="1"/>
  <c r="AE9" i="32" s="1"/>
  <c r="G10" i="32"/>
  <c r="AE10" i="32" s="1"/>
  <c r="D21" i="8"/>
  <c r="D22" i="8"/>
  <c r="D23" i="8" s="1"/>
  <c r="C8" i="8" l="1"/>
  <c r="D8" i="8" s="1"/>
  <c r="C9" i="8" l="1"/>
  <c r="D9" i="8" s="1"/>
  <c r="E9" i="8" s="1"/>
  <c r="L8" i="8" s="1"/>
  <c r="C10" i="8" l="1"/>
  <c r="D10" i="8" s="1"/>
  <c r="L7" i="8"/>
  <c r="L10" i="8" s="1"/>
  <c r="L17" i="8" s="1"/>
  <c r="L24" i="8" l="1"/>
  <c r="C11" i="8"/>
  <c r="D11" i="8" s="1"/>
  <c r="E10" i="8"/>
  <c r="L9" i="8" s="1"/>
  <c r="C12" i="8" l="1"/>
  <c r="E11" i="8"/>
  <c r="C13" i="8" l="1"/>
  <c r="C14" i="8" s="1"/>
  <c r="D12" i="8"/>
  <c r="E12" i="8" s="1"/>
  <c r="D14" i="8" l="1"/>
  <c r="C15" i="8"/>
  <c r="D13" i="8"/>
  <c r="E13" i="8" s="1"/>
  <c r="D15" i="8" l="1"/>
  <c r="C16" i="8"/>
  <c r="E14" i="8"/>
  <c r="C17" i="8" l="1"/>
  <c r="D16" i="8"/>
  <c r="E16" i="8" l="1"/>
  <c r="E15" i="8"/>
  <c r="C18" i="8"/>
  <c r="D17" i="8"/>
  <c r="C19" i="8" l="1"/>
  <c r="D18" i="8"/>
  <c r="C20" i="8" l="1"/>
  <c r="D19" i="8"/>
  <c r="D20" i="8" l="1"/>
  <c r="C21" i="8"/>
  <c r="C22" i="8" s="1"/>
  <c r="E21" i="8" l="1"/>
  <c r="E22" i="8"/>
  <c r="E19" i="8"/>
  <c r="E20" i="8"/>
  <c r="E18" i="8"/>
  <c r="E17" i="8"/>
  <c r="D8" i="32" a="1"/>
  <c r="J8" i="32" a="1"/>
  <c r="K10" i="32" a="1"/>
  <c r="K11" i="32" a="1"/>
  <c r="D8" i="32" l="1"/>
  <c r="J8" i="32"/>
  <c r="K10" i="32"/>
  <c r="K11" i="32"/>
  <c r="R73" i="1" l="1" a="1"/>
  <c r="R73" i="1" s="1"/>
  <c r="Q73" i="1" a="1"/>
  <c r="Q73" i="1" s="1"/>
  <c r="AC73" i="1"/>
  <c r="AC170" i="1"/>
  <c r="S170" i="1" a="1"/>
  <c r="S170" i="1" s="1"/>
  <c r="R170" i="1" a="1"/>
  <c r="R170" i="1" s="1"/>
  <c r="P170" i="1"/>
  <c r="Q170" i="1" a="1"/>
  <c r="Q170" i="1" s="1"/>
  <c r="O170" i="1"/>
  <c r="X170" i="1" s="1"/>
  <c r="S167" i="1" a="1"/>
  <c r="S167" i="1" s="1"/>
  <c r="Q167" i="1" a="1"/>
  <c r="Q167" i="1" s="1"/>
  <c r="R167" i="1" a="1"/>
  <c r="R167" i="1" s="1"/>
  <c r="AC167" i="1"/>
  <c r="P167" i="1"/>
  <c r="O167" i="1"/>
  <c r="X167" i="1" s="1"/>
  <c r="Q10" i="18"/>
  <c r="R72" i="35"/>
  <c r="R71" i="35"/>
  <c r="U33" i="35"/>
  <c r="T64" i="35"/>
  <c r="I30" i="18"/>
  <c r="K19" i="35"/>
  <c r="P78" i="35" a="1"/>
  <c r="P78" i="35" s="1"/>
  <c r="J43" i="35"/>
  <c r="T39" i="35"/>
  <c r="M69" i="35"/>
  <c r="L58" i="35"/>
  <c r="I11" i="18"/>
  <c r="U67" i="35"/>
  <c r="G35" i="18"/>
  <c r="M67" i="35"/>
  <c r="U14" i="35"/>
  <c r="H32" i="18"/>
  <c r="G49" i="18"/>
  <c r="T9" i="35"/>
  <c r="U39" i="35"/>
  <c r="K75" i="35"/>
  <c r="H22" i="35"/>
  <c r="M39" i="35"/>
  <c r="T65" i="35"/>
  <c r="U88" i="35"/>
  <c r="E41" i="35"/>
  <c r="O41" i="35" s="1"/>
  <c r="K82" i="35"/>
  <c r="L49" i="35"/>
  <c r="S81" i="35"/>
  <c r="S34" i="35"/>
  <c r="H35" i="18"/>
  <c r="J62" i="35"/>
  <c r="U40" i="35"/>
  <c r="M32" i="35"/>
  <c r="T71" i="35"/>
  <c r="T84" i="35"/>
  <c r="H7" i="18"/>
  <c r="T30" i="35"/>
  <c r="Q40" i="35" a="1"/>
  <c r="Q40" i="35" s="1"/>
  <c r="L40" i="18"/>
  <c r="H9" i="18"/>
  <c r="S54" i="35"/>
  <c r="I47" i="18"/>
  <c r="K81" i="35"/>
  <c r="C47" i="18"/>
  <c r="F75" i="35"/>
  <c r="O75" i="35" s="1"/>
  <c r="K20" i="18"/>
  <c r="M65" i="35"/>
  <c r="S38" i="35"/>
  <c r="F71" i="35"/>
  <c r="O71" i="35" s="1"/>
  <c r="K14" i="35"/>
  <c r="R16" i="35"/>
  <c r="L80" i="35"/>
  <c r="U89" i="35"/>
  <c r="S80" i="35"/>
  <c r="K45" i="35"/>
  <c r="P16" i="35" a="1"/>
  <c r="P16" i="35" s="1"/>
  <c r="E34" i="35"/>
  <c r="O34" i="35" s="1"/>
  <c r="R52" i="35"/>
  <c r="S27" i="35"/>
  <c r="U57" i="35"/>
  <c r="L13" i="35"/>
  <c r="H5" i="18"/>
  <c r="Q79" i="35" a="1"/>
  <c r="Q79" i="35" s="1"/>
  <c r="J35" i="35"/>
  <c r="K38" i="18"/>
  <c r="L22" i="35"/>
  <c r="I27" i="18"/>
  <c r="G46" i="18"/>
  <c r="Q15" i="35" a="1"/>
  <c r="Q15" i="35" s="1"/>
  <c r="J78" i="35"/>
  <c r="J75" i="35"/>
  <c r="M7" i="35"/>
  <c r="K7" i="35"/>
  <c r="I18" i="18"/>
  <c r="K29" i="35"/>
  <c r="M15" i="35"/>
  <c r="M18" i="18" a="1"/>
  <c r="M18" i="18" s="1"/>
  <c r="R38" i="35"/>
  <c r="L18" i="35"/>
  <c r="T67" i="35"/>
  <c r="L70" i="35"/>
  <c r="B12" i="35"/>
  <c r="R25" i="35"/>
  <c r="T51" i="35"/>
  <c r="T44" i="35"/>
  <c r="T42" i="35"/>
  <c r="R33" i="35"/>
  <c r="R76" i="35"/>
  <c r="U83" i="35"/>
  <c r="T63" i="35"/>
  <c r="T81" i="35"/>
  <c r="S57" i="35"/>
  <c r="Q69" i="35" a="1"/>
  <c r="Q69" i="35" s="1"/>
  <c r="J89" i="35"/>
  <c r="L77" i="35"/>
  <c r="S30" i="35"/>
  <c r="L15" i="18"/>
  <c r="T74" i="35"/>
  <c r="T16" i="35"/>
  <c r="M29" i="18" a="1"/>
  <c r="M29" i="18" s="1"/>
  <c r="S10" i="35"/>
  <c r="I33" i="18"/>
  <c r="L53" i="35"/>
  <c r="K16" i="35"/>
  <c r="U68" i="35"/>
  <c r="Q18" i="35" a="1"/>
  <c r="Q18" i="35" s="1"/>
  <c r="E16" i="35"/>
  <c r="O16" i="35" s="1"/>
  <c r="C32" i="18"/>
  <c r="L55" i="35"/>
  <c r="L20" i="35"/>
  <c r="K25" i="35"/>
  <c r="M43" i="35"/>
  <c r="P89" i="35" a="1"/>
  <c r="P89" i="35" s="1"/>
  <c r="J22" i="35"/>
  <c r="M19" i="35"/>
  <c r="L76" i="35"/>
  <c r="T8" i="35"/>
  <c r="T29" i="35"/>
  <c r="S39" i="35"/>
  <c r="T50" i="35"/>
  <c r="T13" i="35"/>
  <c r="M68" i="35"/>
  <c r="S70" i="35"/>
  <c r="T11" i="35"/>
  <c r="L8" i="18"/>
  <c r="U25" i="35"/>
  <c r="R61" i="35"/>
  <c r="H38" i="18"/>
  <c r="U66" i="35"/>
  <c r="I44" i="18"/>
  <c r="T36" i="35"/>
  <c r="L65" i="35"/>
  <c r="S44" i="35"/>
  <c r="M51" i="35"/>
  <c r="U69" i="35"/>
  <c r="U42" i="35"/>
  <c r="S71" i="35"/>
  <c r="U37" i="35"/>
  <c r="R75" i="35"/>
  <c r="S40" i="35"/>
  <c r="U38" i="35"/>
  <c r="R74" i="35"/>
  <c r="R73" i="35"/>
  <c r="L25" i="18"/>
  <c r="S78" i="35"/>
  <c r="B11" i="35"/>
  <c r="B47" i="35"/>
  <c r="P44" i="35" a="1"/>
  <c r="P44" i="35" s="1"/>
  <c r="Q82" i="35" a="1"/>
  <c r="Q82" i="35" s="1"/>
  <c r="J55" i="35"/>
  <c r="J38" i="35"/>
  <c r="J30" i="35"/>
  <c r="J14" i="35"/>
  <c r="U17" i="35"/>
  <c r="K80" i="35"/>
  <c r="K50" i="35"/>
  <c r="L74" i="35"/>
  <c r="K42" i="35"/>
  <c r="U49" i="35"/>
  <c r="R60" i="35"/>
  <c r="U59" i="35"/>
  <c r="L78" i="35"/>
  <c r="K34" i="35"/>
  <c r="T62" i="35"/>
  <c r="K24" i="35"/>
  <c r="U27" i="35"/>
  <c r="M78" i="35"/>
  <c r="S84" i="35"/>
  <c r="L60" i="35"/>
  <c r="M47" i="35"/>
  <c r="S28" i="35"/>
  <c r="C25" i="18"/>
  <c r="L64" i="35"/>
  <c r="S16" i="35"/>
  <c r="M80" i="35"/>
  <c r="L69" i="35"/>
  <c r="M36" i="35"/>
  <c r="R24" i="35"/>
  <c r="E27" i="35"/>
  <c r="O27" i="35" s="1"/>
  <c r="K52" i="35"/>
  <c r="T19" i="35"/>
  <c r="M86" i="35"/>
  <c r="S60" i="35"/>
  <c r="U34" i="35"/>
  <c r="H48" i="35"/>
  <c r="Q36" i="35" a="1"/>
  <c r="Q36" i="35" s="1"/>
  <c r="B20" i="35"/>
  <c r="P46" i="35" a="1"/>
  <c r="P18" i="35" a="1"/>
  <c r="P18" i="35" s="1"/>
  <c r="J34" i="35"/>
  <c r="J82" i="35"/>
  <c r="I7" i="18"/>
  <c r="S37" i="35"/>
  <c r="L82" i="35"/>
  <c r="K13" i="35"/>
  <c r="S88" i="35"/>
  <c r="M35" i="35"/>
  <c r="L79" i="35"/>
  <c r="I20" i="18"/>
  <c r="I46" i="18"/>
  <c r="I34" i="18"/>
  <c r="M48" i="35"/>
  <c r="K58" i="35"/>
  <c r="L51" i="35"/>
  <c r="H30" i="18"/>
  <c r="L45" i="35"/>
  <c r="K22" i="18"/>
  <c r="S46" i="35"/>
  <c r="I26" i="18"/>
  <c r="M44" i="35"/>
  <c r="L32" i="35"/>
  <c r="K85" i="35"/>
  <c r="M26" i="35"/>
  <c r="K55" i="35"/>
  <c r="K20" i="35"/>
  <c r="H6" i="18"/>
  <c r="I15" i="18"/>
  <c r="M60" i="35"/>
  <c r="T58" i="35"/>
  <c r="S41" i="35"/>
  <c r="T86" i="35"/>
  <c r="H36" i="18"/>
  <c r="H34" i="35"/>
  <c r="M24" i="18" a="1"/>
  <c r="M24" i="18" s="1"/>
  <c r="P58" i="35" a="1"/>
  <c r="P58" i="35" s="1"/>
  <c r="G36" i="35"/>
  <c r="O36" i="35" s="1"/>
  <c r="J25" i="35"/>
  <c r="H22" i="18"/>
  <c r="K19" i="18"/>
  <c r="R35" i="35"/>
  <c r="K84" i="35"/>
  <c r="U85" i="35"/>
  <c r="T32" i="35"/>
  <c r="S18" i="35"/>
  <c r="H16" i="18"/>
  <c r="M62" i="35"/>
  <c r="K69" i="35"/>
  <c r="L19" i="18"/>
  <c r="S56" i="35"/>
  <c r="I21" i="18"/>
  <c r="S65" i="35"/>
  <c r="U28" i="35"/>
  <c r="I24" i="18"/>
  <c r="M77" i="35"/>
  <c r="K41" i="18"/>
  <c r="S32" i="35"/>
  <c r="T22" i="35"/>
  <c r="M81" i="35"/>
  <c r="R23" i="35"/>
  <c r="H27" i="18"/>
  <c r="M28" i="35"/>
  <c r="T17" i="35"/>
  <c r="U56" i="35"/>
  <c r="U19" i="35"/>
  <c r="R50" i="35"/>
  <c r="K44" i="35"/>
  <c r="K10" i="35"/>
  <c r="P75" i="35" a="1"/>
  <c r="P75" i="35" s="1"/>
  <c r="P63" i="35" a="1"/>
  <c r="P63" i="35" s="1"/>
  <c r="J64" i="35"/>
  <c r="F83" i="35"/>
  <c r="O83" i="35" s="1"/>
  <c r="M82" i="35"/>
  <c r="U30" i="35"/>
  <c r="L81" i="35"/>
  <c r="K74" i="35"/>
  <c r="K47" i="18"/>
  <c r="L56" i="35"/>
  <c r="T12" i="35"/>
  <c r="L73" i="35"/>
  <c r="K39" i="18"/>
  <c r="L10" i="18"/>
  <c r="M52" i="35"/>
  <c r="U76" i="35"/>
  <c r="K60" i="35"/>
  <c r="S52" i="35"/>
  <c r="C28" i="18"/>
  <c r="L89" i="35"/>
  <c r="H37" i="18"/>
  <c r="U13" i="35"/>
  <c r="S82" i="35"/>
  <c r="U78" i="35"/>
  <c r="K38" i="35"/>
  <c r="S69" i="35"/>
  <c r="R67" i="35"/>
  <c r="K41" i="35"/>
  <c r="M12" i="35"/>
  <c r="K40" i="35"/>
  <c r="U10" i="35"/>
  <c r="U63" i="35"/>
  <c r="L39" i="35"/>
  <c r="H64" i="35"/>
  <c r="M8" i="18" a="1"/>
  <c r="M8" i="18" s="1"/>
  <c r="B80" i="35"/>
  <c r="E38" i="35"/>
  <c r="O38" i="35" s="1"/>
  <c r="K54" i="35"/>
  <c r="K67" i="35"/>
  <c r="T70" i="35"/>
  <c r="L11" i="35"/>
  <c r="G18" i="18"/>
  <c r="L63" i="35"/>
  <c r="H15" i="18"/>
  <c r="L31" i="35"/>
  <c r="L68" i="35"/>
  <c r="K35" i="35"/>
  <c r="T55" i="35"/>
  <c r="M56" i="35"/>
  <c r="K14" i="18"/>
  <c r="U61" i="35"/>
  <c r="S79" i="35"/>
  <c r="U41" i="35"/>
  <c r="L66" i="35"/>
  <c r="S12" i="35"/>
  <c r="G28" i="18"/>
  <c r="R83" i="35"/>
  <c r="S89" i="35"/>
  <c r="M14" i="35"/>
  <c r="L8" i="35"/>
  <c r="M9" i="35"/>
  <c r="S29" i="35"/>
  <c r="K36" i="18"/>
  <c r="U45" i="35"/>
  <c r="L48" i="18"/>
  <c r="S20" i="35"/>
  <c r="K36" i="35"/>
  <c r="L31" i="18"/>
  <c r="K44" i="18"/>
  <c r="K37" i="18"/>
  <c r="Q35" i="35" a="1"/>
  <c r="Q35" i="35" s="1"/>
  <c r="P68" i="35" a="1"/>
  <c r="P68" i="35" s="1"/>
  <c r="Q81" i="35" a="1"/>
  <c r="Q81" i="35" s="1"/>
  <c r="M34" i="18" a="1"/>
  <c r="M34" i="18" s="1"/>
  <c r="P74" i="35" a="1"/>
  <c r="P74" i="35" s="1"/>
  <c r="J8" i="35"/>
  <c r="J65" i="35"/>
  <c r="T47" i="35"/>
  <c r="T33" i="35"/>
  <c r="L35" i="18"/>
  <c r="U72" i="35"/>
  <c r="C33" i="18"/>
  <c r="I5" i="18"/>
  <c r="S36" i="35"/>
  <c r="M84" i="35"/>
  <c r="S50" i="35"/>
  <c r="K64" i="35"/>
  <c r="L38" i="35"/>
  <c r="H25" i="18"/>
  <c r="I9" i="18"/>
  <c r="L52" i="35"/>
  <c r="U36" i="35"/>
  <c r="K25" i="18"/>
  <c r="L15" i="35"/>
  <c r="L34" i="18"/>
  <c r="G22" i="35"/>
  <c r="O22" i="35" s="1"/>
  <c r="S49" i="35"/>
  <c r="T54" i="35"/>
  <c r="K17" i="18"/>
  <c r="R18" i="35"/>
  <c r="K47" i="35"/>
  <c r="K71" i="35"/>
  <c r="K8" i="18"/>
  <c r="I36" i="18"/>
  <c r="L71" i="35"/>
  <c r="I29" i="18"/>
  <c r="K7" i="18"/>
  <c r="H26" i="18"/>
  <c r="T48" i="35"/>
  <c r="B73" i="35"/>
  <c r="Q19" i="35" a="1"/>
  <c r="Q19" i="35" s="1"/>
  <c r="H76" i="35"/>
  <c r="H56" i="35"/>
  <c r="Q59" i="35" a="1"/>
  <c r="Q59" i="35" s="1"/>
  <c r="T59" i="35"/>
  <c r="E29" i="35"/>
  <c r="O29" i="35" s="1"/>
  <c r="R65" i="35"/>
  <c r="L40" i="35"/>
  <c r="T72" i="35"/>
  <c r="M10" i="35"/>
  <c r="H40" i="18"/>
  <c r="S85" i="35"/>
  <c r="R86" i="35"/>
  <c r="M18" i="35"/>
  <c r="R45" i="35"/>
  <c r="L67" i="35"/>
  <c r="U77" i="35"/>
  <c r="I10" i="18"/>
  <c r="I43" i="18"/>
  <c r="H33" i="18"/>
  <c r="T61" i="35"/>
  <c r="L57" i="35"/>
  <c r="K21" i="18"/>
  <c r="D20" i="28" s="1"/>
  <c r="S75" i="35"/>
  <c r="R17" i="35"/>
  <c r="M53" i="35"/>
  <c r="T14" i="35"/>
  <c r="L26" i="18"/>
  <c r="L11" i="18"/>
  <c r="T46" i="35"/>
  <c r="K11" i="35"/>
  <c r="S83" i="35"/>
  <c r="R64" i="35"/>
  <c r="T38" i="35"/>
  <c r="R42" i="35"/>
  <c r="T20" i="35"/>
  <c r="Q11" i="35" a="1"/>
  <c r="Q11" i="35" s="1"/>
  <c r="H38" i="35"/>
  <c r="H73" i="35"/>
  <c r="Q78" i="35" a="1"/>
  <c r="Q78" i="35" s="1"/>
  <c r="U43" i="35"/>
  <c r="L14" i="35"/>
  <c r="H47" i="18"/>
  <c r="L12" i="35"/>
  <c r="U46" i="35"/>
  <c r="M87" i="35"/>
  <c r="K68" i="35"/>
  <c r="K43" i="35"/>
  <c r="L44" i="35"/>
  <c r="I40" i="18"/>
  <c r="S48" i="35"/>
  <c r="K13" i="18"/>
  <c r="I39" i="18"/>
  <c r="I12" i="18"/>
  <c r="M61" i="35"/>
  <c r="I23" i="18"/>
  <c r="R87" i="35"/>
  <c r="L16" i="18"/>
  <c r="L83" i="35"/>
  <c r="K56" i="35"/>
  <c r="T88" i="35"/>
  <c r="S62" i="35"/>
  <c r="K21" i="35"/>
  <c r="L30" i="35"/>
  <c r="S45" i="35"/>
  <c r="U80" i="35"/>
  <c r="K32" i="35"/>
  <c r="M66" i="35"/>
  <c r="M55" i="35"/>
  <c r="R80" i="35"/>
  <c r="B40" i="35"/>
  <c r="C45" i="18"/>
  <c r="Q44" i="35" a="1"/>
  <c r="Q44" i="35" s="1"/>
  <c r="P80" i="35" a="1"/>
  <c r="P80" i="35" s="1"/>
  <c r="Q173" i="1" a="1"/>
  <c r="Q173" i="1" s="1"/>
  <c r="F31" i="35"/>
  <c r="O31" i="35" s="1"/>
  <c r="G57" i="35"/>
  <c r="O57" i="35" s="1"/>
  <c r="R41" i="35"/>
  <c r="U52" i="35"/>
  <c r="U26" i="35"/>
  <c r="K12" i="35"/>
  <c r="M8" i="35"/>
  <c r="U73" i="35"/>
  <c r="R68" i="35"/>
  <c r="U31" i="35"/>
  <c r="T57" i="35"/>
  <c r="K49" i="35"/>
  <c r="K57" i="35"/>
  <c r="I48" i="18"/>
  <c r="K62" i="35"/>
  <c r="S42" i="35"/>
  <c r="K77" i="35"/>
  <c r="I28" i="18"/>
  <c r="U22" i="35"/>
  <c r="T80" i="35"/>
  <c r="U20" i="35"/>
  <c r="U51" i="35"/>
  <c r="M20" i="35"/>
  <c r="T27" i="35"/>
  <c r="S13" i="35"/>
  <c r="R82" i="35"/>
  <c r="K42" i="18"/>
  <c r="L84" i="35"/>
  <c r="K86" i="35"/>
  <c r="L41" i="18"/>
  <c r="M59" i="35"/>
  <c r="L45" i="18"/>
  <c r="L19" i="35"/>
  <c r="M36" i="18" a="1"/>
  <c r="M36" i="18" s="1"/>
  <c r="P30" i="35" a="1"/>
  <c r="P30" i="35" s="1"/>
  <c r="H12" i="35"/>
  <c r="B9" i="35"/>
  <c r="Q21" i="35" a="1"/>
  <c r="Q21" i="35" s="1"/>
  <c r="L9" i="35"/>
  <c r="K45" i="18"/>
  <c r="K72" i="35"/>
  <c r="S11" i="35"/>
  <c r="K31" i="35"/>
  <c r="R20" i="35"/>
  <c r="R36" i="35"/>
  <c r="H8" i="18"/>
  <c r="S74" i="35"/>
  <c r="H19" i="18"/>
  <c r="E50" i="35"/>
  <c r="O50" i="35" s="1"/>
  <c r="S21" i="35"/>
  <c r="T40" i="35"/>
  <c r="R84" i="35"/>
  <c r="R12" i="35"/>
  <c r="R31" i="35"/>
  <c r="I8" i="18"/>
  <c r="T77" i="35"/>
  <c r="L43" i="18"/>
  <c r="H10" i="18"/>
  <c r="U35" i="35"/>
  <c r="R21" i="35"/>
  <c r="L62" i="35"/>
  <c r="S35" i="35"/>
  <c r="K8" i="35"/>
  <c r="S15" i="35"/>
  <c r="T73" i="35"/>
  <c r="K34" i="18"/>
  <c r="S51" i="35"/>
  <c r="U23" i="35"/>
  <c r="M58" i="35"/>
  <c r="R57" i="35"/>
  <c r="R43" i="35"/>
  <c r="M9" i="18" a="1"/>
  <c r="M9" i="18" s="1"/>
  <c r="B34" i="35"/>
  <c r="H29" i="35"/>
  <c r="M25" i="18" a="1"/>
  <c r="M25" i="18" s="1"/>
  <c r="J60" i="35"/>
  <c r="T49" i="35"/>
  <c r="K26" i="35"/>
  <c r="T37" i="35"/>
  <c r="C35" i="18"/>
  <c r="U54" i="35"/>
  <c r="R62" i="35"/>
  <c r="S61" i="35"/>
  <c r="R11" i="35"/>
  <c r="S25" i="35"/>
  <c r="T35" i="35"/>
  <c r="T18" i="35"/>
  <c r="L49" i="18"/>
  <c r="I25" i="18"/>
  <c r="U79" i="35"/>
  <c r="S77" i="35"/>
  <c r="K89" i="35"/>
  <c r="K78" i="35"/>
  <c r="S22" i="35"/>
  <c r="L7" i="18"/>
  <c r="S14" i="35"/>
  <c r="K30" i="35"/>
  <c r="U64" i="35"/>
  <c r="K32" i="18"/>
  <c r="I42" i="18"/>
  <c r="L46" i="18"/>
  <c r="H43" i="18"/>
  <c r="I49" i="18"/>
  <c r="S47" i="35"/>
  <c r="T66" i="35"/>
  <c r="K23" i="18"/>
  <c r="L29" i="18"/>
  <c r="P62" i="35" a="1"/>
  <c r="P62" i="35" s="1"/>
  <c r="H81" i="35"/>
  <c r="P33" i="35" a="1"/>
  <c r="P33" i="35" s="1"/>
  <c r="H55" i="35"/>
  <c r="E43" i="35"/>
  <c r="O43" i="35" s="1"/>
  <c r="M29" i="35"/>
  <c r="S64" i="35"/>
  <c r="I38" i="18"/>
  <c r="S33" i="35"/>
  <c r="M34" i="35"/>
  <c r="K49" i="18"/>
  <c r="K51" i="35"/>
  <c r="K23" i="35"/>
  <c r="I6" i="18"/>
  <c r="K22" i="35"/>
  <c r="G13" i="18"/>
  <c r="R10" i="35"/>
  <c r="S68" i="35"/>
  <c r="H39" i="18"/>
  <c r="U62" i="35"/>
  <c r="K70" i="35"/>
  <c r="U81" i="35"/>
  <c r="T25" i="35"/>
  <c r="T87" i="35"/>
  <c r="U60" i="35"/>
  <c r="U71" i="35"/>
  <c r="R39" i="35"/>
  <c r="R81" i="35"/>
  <c r="U53" i="35"/>
  <c r="U32" i="35"/>
  <c r="R69" i="35"/>
  <c r="H12" i="18"/>
  <c r="T31" i="35"/>
  <c r="U9" i="35"/>
  <c r="S53" i="35"/>
  <c r="M23" i="35"/>
  <c r="U15" i="35"/>
  <c r="H89" i="35"/>
  <c r="H42" i="35"/>
  <c r="B58" i="35"/>
  <c r="Q26" i="35" a="1"/>
  <c r="Q26" i="35" s="1"/>
  <c r="E24" i="35"/>
  <c r="O24" i="35" s="1"/>
  <c r="U87" i="35"/>
  <c r="L36" i="18"/>
  <c r="H44" i="18"/>
  <c r="L26" i="35"/>
  <c r="H48" i="18"/>
  <c r="R22" i="35"/>
  <c r="M11" i="35"/>
  <c r="H20" i="18"/>
  <c r="L28" i="18"/>
  <c r="H18" i="18"/>
  <c r="R66" i="35"/>
  <c r="L7" i="35"/>
  <c r="U48" i="35"/>
  <c r="H41" i="18"/>
  <c r="S31" i="35"/>
  <c r="L34" i="35"/>
  <c r="K28" i="18"/>
  <c r="L17" i="18"/>
  <c r="T15" i="35"/>
  <c r="T23" i="35"/>
  <c r="L28" i="35"/>
  <c r="U70" i="35"/>
  <c r="T28" i="35"/>
  <c r="K40" i="18"/>
  <c r="M16" i="35"/>
  <c r="H31" i="18"/>
  <c r="U55" i="35"/>
  <c r="U50" i="35"/>
  <c r="L21" i="35"/>
  <c r="K5" i="18"/>
  <c r="K73" i="35"/>
  <c r="M31" i="35"/>
  <c r="R27" i="35"/>
  <c r="B42" i="35"/>
  <c r="M44" i="18" a="1"/>
  <c r="M44" i="18" s="1"/>
  <c r="B19" i="35"/>
  <c r="H85" i="35"/>
  <c r="J28" i="35"/>
  <c r="T53" i="35"/>
  <c r="R32" i="35"/>
  <c r="K18" i="18"/>
  <c r="T24" i="35"/>
  <c r="T79" i="35"/>
  <c r="I13" i="18"/>
  <c r="K46" i="35"/>
  <c r="U75" i="35"/>
  <c r="R77" i="35"/>
  <c r="R89" i="35"/>
  <c r="K10" i="18"/>
  <c r="K87" i="35"/>
  <c r="L6" i="18"/>
  <c r="H14" i="18"/>
  <c r="M25" i="35"/>
  <c r="L48" i="35"/>
  <c r="K33" i="35"/>
  <c r="M75" i="35"/>
  <c r="I19" i="18"/>
  <c r="I16" i="18"/>
  <c r="K61" i="35"/>
  <c r="I32" i="18"/>
  <c r="L35" i="35"/>
  <c r="K46" i="18"/>
  <c r="L33" i="18"/>
  <c r="M46" i="35"/>
  <c r="I45" i="18"/>
  <c r="L42" i="35"/>
  <c r="M70" i="35"/>
  <c r="M85" i="35"/>
  <c r="L46" i="35"/>
  <c r="U24" i="35"/>
  <c r="R40" i="35"/>
  <c r="B87" i="35"/>
  <c r="Q56" i="35" a="1"/>
  <c r="Q56" i="35" s="1"/>
  <c r="H39" i="35"/>
  <c r="B66" i="35"/>
  <c r="L17" i="35"/>
  <c r="L86" i="35"/>
  <c r="U29" i="35"/>
  <c r="L61" i="35"/>
  <c r="S73" i="35"/>
  <c r="K39" i="35"/>
  <c r="L39" i="18"/>
  <c r="M73" i="35"/>
  <c r="M40" i="35"/>
  <c r="K18" i="35"/>
  <c r="S8" i="35"/>
  <c r="L47" i="35"/>
  <c r="R70" i="35"/>
  <c r="H21" i="18"/>
  <c r="C5" i="18"/>
  <c r="L85" i="35"/>
  <c r="R26" i="35"/>
  <c r="M49" i="35"/>
  <c r="H49" i="18"/>
  <c r="H84" i="35"/>
  <c r="Q47" i="35" a="1"/>
  <c r="Q47" i="35" s="1"/>
  <c r="M31" i="18" a="1"/>
  <c r="M31" i="18" s="1"/>
  <c r="Q70" i="35" a="1"/>
  <c r="Q70" i="35" s="1"/>
  <c r="P19" i="35" a="1"/>
  <c r="P19" i="35" s="1"/>
  <c r="L59" i="35"/>
  <c r="G7" i="18"/>
  <c r="H46" i="18"/>
  <c r="R78" i="35"/>
  <c r="L88" i="35"/>
  <c r="U86" i="35"/>
  <c r="L87" i="35"/>
  <c r="K9" i="35"/>
  <c r="I35" i="18"/>
  <c r="L30" i="18"/>
  <c r="L43" i="35"/>
  <c r="M24" i="35"/>
  <c r="K26" i="18"/>
  <c r="M74" i="35"/>
  <c r="M37" i="35"/>
  <c r="T85" i="35"/>
  <c r="S87" i="35"/>
  <c r="L41" i="35"/>
  <c r="S58" i="35"/>
  <c r="R48" i="35"/>
  <c r="R28" i="35"/>
  <c r="M17" i="35"/>
  <c r="K28" i="35"/>
  <c r="L21" i="18"/>
  <c r="G45" i="18"/>
  <c r="H45" i="18"/>
  <c r="K83" i="35"/>
  <c r="L36" i="35"/>
  <c r="M22" i="35"/>
  <c r="U82" i="35"/>
  <c r="C18" i="18"/>
  <c r="L14" i="18"/>
  <c r="M79" i="35"/>
  <c r="K48" i="18"/>
  <c r="K12" i="18"/>
  <c r="H28" i="18"/>
  <c r="R29" i="35"/>
  <c r="K35" i="18"/>
  <c r="H42" i="18"/>
  <c r="H11" i="18"/>
  <c r="H13" i="18"/>
  <c r="P47" i="35" a="1"/>
  <c r="P47" i="35" s="1"/>
  <c r="H72" i="35"/>
  <c r="Q25" i="35" a="1"/>
  <c r="Q25" i="35" s="1"/>
  <c r="Q39" i="35" a="1"/>
  <c r="Q39" i="35" s="1"/>
  <c r="R14" i="35"/>
  <c r="M42" i="35"/>
  <c r="M57" i="35"/>
  <c r="G5" i="18"/>
  <c r="R79" i="35"/>
  <c r="H23" i="18"/>
  <c r="H34" i="18"/>
  <c r="S72" i="35"/>
  <c r="R88" i="35"/>
  <c r="T60" i="35"/>
  <c r="T34" i="35"/>
  <c r="M33" i="35"/>
  <c r="I14" i="18"/>
  <c r="M50" i="35"/>
  <c r="S66" i="35"/>
  <c r="T68" i="35"/>
  <c r="R46" i="35"/>
  <c r="R85" i="35"/>
  <c r="K48" i="35"/>
  <c r="L24" i="18"/>
  <c r="L27" i="18"/>
  <c r="S67" i="35"/>
  <c r="P7" i="35" a="1"/>
  <c r="P7" i="35" s="1"/>
  <c r="H51" i="35"/>
  <c r="P87" i="35" a="1"/>
  <c r="P87" i="35" s="1"/>
  <c r="M28" i="18" a="1"/>
  <c r="M28" i="18" s="1"/>
  <c r="B77" i="35"/>
  <c r="R173" i="1" a="1"/>
  <c r="R173" i="1" s="1"/>
  <c r="L44" i="18"/>
  <c r="L54" i="35"/>
  <c r="I41" i="18"/>
  <c r="S26" i="35"/>
  <c r="R13" i="35"/>
  <c r="L42" i="18"/>
  <c r="L27" i="35"/>
  <c r="M72" i="35"/>
  <c r="R56" i="35"/>
  <c r="G33" i="18"/>
  <c r="K65" i="35"/>
  <c r="I37" i="18"/>
  <c r="R49" i="35"/>
  <c r="R55" i="35"/>
  <c r="M21" i="35"/>
  <c r="R8" i="35"/>
  <c r="U12" i="35"/>
  <c r="L47" i="18"/>
  <c r="B61" i="35"/>
  <c r="P26" i="35" a="1"/>
  <c r="P26" i="35" s="1"/>
  <c r="M13" i="18" a="1"/>
  <c r="M13" i="18" s="1"/>
  <c r="Q89" i="35" a="1"/>
  <c r="Q89" i="35" s="1"/>
  <c r="T89" i="35"/>
  <c r="S19" i="35"/>
  <c r="T26" i="35"/>
  <c r="H24" i="18"/>
  <c r="L32" i="18"/>
  <c r="H50" i="35"/>
  <c r="P14" i="35" a="1"/>
  <c r="P14" i="35" s="1"/>
  <c r="P20" i="35" a="1"/>
  <c r="P20" i="35" s="1"/>
  <c r="P21" i="35" a="1"/>
  <c r="P21" i="35" s="1"/>
  <c r="M20" i="18" a="1"/>
  <c r="M20" i="18" s="1"/>
  <c r="P57" i="35" a="1"/>
  <c r="P57" i="35" s="1"/>
  <c r="U11" i="35"/>
  <c r="L29" i="35"/>
  <c r="K43" i="18"/>
  <c r="S23" i="35"/>
  <c r="K27" i="35"/>
  <c r="M54" i="35"/>
  <c r="U16" i="35"/>
  <c r="R34" i="35"/>
  <c r="T56" i="35"/>
  <c r="T76" i="35"/>
  <c r="I31" i="18"/>
  <c r="T41" i="35"/>
  <c r="K37" i="35"/>
  <c r="I22" i="18"/>
  <c r="T69" i="35"/>
  <c r="U47" i="35"/>
  <c r="L5" i="18"/>
  <c r="K9" i="18"/>
  <c r="K76" i="35"/>
  <c r="R47" i="35"/>
  <c r="L37" i="35"/>
  <c r="M71" i="35"/>
  <c r="U8" i="35"/>
  <c r="R9" i="35"/>
  <c r="I17" i="18"/>
  <c r="L20" i="18"/>
  <c r="M83" i="35"/>
  <c r="S76" i="35"/>
  <c r="K63" i="35"/>
  <c r="Q34" i="35" a="1"/>
  <c r="Q34" i="35" s="1"/>
  <c r="H59" i="35"/>
  <c r="H18" i="35"/>
  <c r="P83" i="35" a="1"/>
  <c r="P83" i="35" s="1"/>
  <c r="B27" i="35"/>
  <c r="H77" i="35"/>
  <c r="S43" i="35"/>
  <c r="M13" i="35"/>
  <c r="R53" i="35"/>
  <c r="K31" i="18"/>
  <c r="L75" i="35"/>
  <c r="R37" i="35"/>
  <c r="L33" i="35"/>
  <c r="L18" i="18"/>
  <c r="S24" i="35"/>
  <c r="S9" i="35"/>
  <c r="K79" i="35"/>
  <c r="G25" i="18"/>
  <c r="L25" i="35"/>
  <c r="T75" i="35"/>
  <c r="L9" i="18"/>
  <c r="U18" i="35"/>
  <c r="U21" i="35"/>
  <c r="R54" i="35"/>
  <c r="H29" i="18"/>
  <c r="S17" i="35"/>
  <c r="L72" i="35"/>
  <c r="L24" i="35"/>
  <c r="K33" i="18"/>
  <c r="Q85" i="35" a="1"/>
  <c r="Q85" i="35" s="1"/>
  <c r="H45" i="35"/>
  <c r="Q8" i="35" a="1"/>
  <c r="Q8" i="35" s="1"/>
  <c r="Q42" i="35" a="1"/>
  <c r="Q42" i="35" s="1"/>
  <c r="H68" i="35"/>
  <c r="B59" i="35"/>
  <c r="K16" i="18"/>
  <c r="M88" i="35"/>
  <c r="L16" i="35"/>
  <c r="L22" i="18"/>
  <c r="L13" i="18"/>
  <c r="L37" i="18"/>
  <c r="H63" i="35"/>
  <c r="H32" i="35"/>
  <c r="H58" i="35"/>
  <c r="P52" i="35" a="1"/>
  <c r="P52" i="35" s="1"/>
  <c r="P12" i="35" a="1"/>
  <c r="P12" i="35" s="1"/>
  <c r="B52" i="35"/>
  <c r="B54" i="35"/>
  <c r="Q52" i="35" a="1"/>
  <c r="Q52" i="35" s="1"/>
  <c r="H65" i="35"/>
  <c r="B28" i="35"/>
  <c r="Q83" i="35" a="1"/>
  <c r="Q83" i="35" s="1"/>
  <c r="Q72" i="35" a="1"/>
  <c r="Q72" i="35" s="1"/>
  <c r="M45" i="35"/>
  <c r="T52" i="35"/>
  <c r="H27" i="35"/>
  <c r="B60" i="35"/>
  <c r="M43" i="18" a="1"/>
  <c r="M43" i="18" s="1"/>
  <c r="B33" i="35"/>
  <c r="M32" i="18" a="1"/>
  <c r="M32" i="18" s="1"/>
  <c r="B72" i="35"/>
  <c r="P70" i="35" a="1"/>
  <c r="P70" i="35" s="1"/>
  <c r="H28" i="35"/>
  <c r="B44" i="35"/>
  <c r="H78" i="35"/>
  <c r="M22" i="18" a="1"/>
  <c r="M22" i="18" s="1"/>
  <c r="Q50" i="35" a="1"/>
  <c r="Q50" i="35" s="1"/>
  <c r="H36" i="35"/>
  <c r="M5" i="18" a="1"/>
  <c r="M5" i="18" s="1"/>
  <c r="Q87" i="35" a="1"/>
  <c r="Q87" i="35" s="1"/>
  <c r="P67" i="35" a="1"/>
  <c r="P67" i="35" s="1"/>
  <c r="B43" i="35"/>
  <c r="H87" i="35"/>
  <c r="Q45" i="35" a="1"/>
  <c r="Q45" i="35" s="1"/>
  <c r="P50" i="35" a="1"/>
  <c r="P50" i="35" s="1"/>
  <c r="B29" i="35"/>
  <c r="B21" i="35"/>
  <c r="H13" i="35"/>
  <c r="H20" i="35"/>
  <c r="S86" i="35"/>
  <c r="U74" i="35"/>
  <c r="L23" i="35"/>
  <c r="T78" i="35"/>
  <c r="R19" i="35"/>
  <c r="M27" i="35"/>
  <c r="U65" i="35"/>
  <c r="S55" i="35"/>
  <c r="K11" i="18"/>
  <c r="G32" i="18"/>
  <c r="M89" i="35"/>
  <c r="R58" i="35"/>
  <c r="R59" i="35"/>
  <c r="U44" i="35"/>
  <c r="C7" i="18"/>
  <c r="H19" i="35"/>
  <c r="H52" i="35"/>
  <c r="M47" i="18" a="1"/>
  <c r="M47" i="18" s="1"/>
  <c r="P15" i="35" a="1"/>
  <c r="P15" i="35" s="1"/>
  <c r="Q7" i="35" a="1"/>
  <c r="Q7" i="35" s="1"/>
  <c r="P27" i="35" a="1"/>
  <c r="P27" i="35" s="1"/>
  <c r="M48" i="18" a="1"/>
  <c r="M48" i="18" s="1"/>
  <c r="P13" i="35" a="1"/>
  <c r="P13" i="35" s="1"/>
  <c r="M6" i="18" a="1"/>
  <c r="M6" i="18" s="1"/>
  <c r="Q75" i="35" a="1"/>
  <c r="Q75" i="35" s="1"/>
  <c r="B32" i="35"/>
  <c r="T10" i="35"/>
  <c r="M41" i="35"/>
  <c r="Q17" i="35" a="1"/>
  <c r="Q17" i="35" s="1"/>
  <c r="B78" i="35"/>
  <c r="Q73" i="35" a="1"/>
  <c r="Q73" i="35" s="1"/>
  <c r="P37" i="35" a="1"/>
  <c r="P37" i="35" s="1"/>
  <c r="B16" i="35"/>
  <c r="B65" i="35"/>
  <c r="M7" i="18" a="1"/>
  <c r="M7" i="18" s="1"/>
  <c r="H61" i="35"/>
  <c r="P29" i="35" a="1"/>
  <c r="P29" i="35" s="1"/>
  <c r="M23" i="18" a="1"/>
  <c r="M23" i="18" s="1"/>
  <c r="H46" i="35"/>
  <c r="K59" i="35"/>
  <c r="S59" i="35"/>
  <c r="K88" i="35"/>
  <c r="K15" i="35"/>
  <c r="L38" i="18"/>
  <c r="R51" i="35"/>
  <c r="L23" i="18"/>
  <c r="T82" i="35"/>
  <c r="S63" i="35"/>
  <c r="R63" i="35"/>
  <c r="K53" i="35"/>
  <c r="M30" i="35"/>
  <c r="K17" i="35"/>
  <c r="M38" i="35"/>
  <c r="T45" i="35"/>
  <c r="K6" i="18"/>
  <c r="H53" i="35"/>
  <c r="B10" i="35"/>
  <c r="Q10" i="35" a="1"/>
  <c r="Q10" i="35" s="1"/>
  <c r="P54" i="35" a="1"/>
  <c r="P54" i="35" s="1"/>
  <c r="Q28" i="35" a="1"/>
  <c r="Q28" i="35" s="1"/>
  <c r="Q55" i="35" a="1"/>
  <c r="Q55" i="35" s="1"/>
  <c r="H80" i="35"/>
  <c r="Q12" i="35" a="1"/>
  <c r="Q12" i="35" s="1"/>
  <c r="P69" i="35" a="1"/>
  <c r="P69" i="35" s="1"/>
  <c r="H41" i="35"/>
  <c r="Q54" i="35" a="1"/>
  <c r="Q54" i="35" s="1"/>
  <c r="P85" i="35" a="1"/>
  <c r="P85" i="35" s="1"/>
  <c r="M33" i="18" a="1"/>
  <c r="M33" i="18" s="1"/>
  <c r="P41" i="35" a="1"/>
  <c r="P41" i="35" s="1"/>
  <c r="H49" i="35"/>
  <c r="Q61" i="35" a="1"/>
  <c r="Q61" i="35" s="1"/>
  <c r="Q51" i="35" a="1"/>
  <c r="Q51" i="35" s="1"/>
  <c r="P10" i="35" a="1"/>
  <c r="P10" i="35" s="1"/>
  <c r="Q20" i="35" a="1"/>
  <c r="Q20" i="35" s="1"/>
  <c r="H40" i="35"/>
  <c r="Q88" i="35" a="1"/>
  <c r="Q88" i="35" s="1"/>
  <c r="H8" i="35"/>
  <c r="H83" i="35"/>
  <c r="B36" i="35"/>
  <c r="M63" i="35"/>
  <c r="L50" i="35"/>
  <c r="T43" i="35"/>
  <c r="R15" i="35"/>
  <c r="R44" i="35"/>
  <c r="K66" i="35"/>
  <c r="L10" i="35"/>
  <c r="R30" i="35"/>
  <c r="U84" i="35"/>
  <c r="H17" i="18"/>
  <c r="M76" i="35"/>
  <c r="T83" i="35"/>
  <c r="T21" i="35"/>
  <c r="L12" i="18"/>
  <c r="B82" i="35"/>
  <c r="P79" i="35" a="1"/>
  <c r="P79" i="35" s="1"/>
  <c r="C49" i="18"/>
  <c r="Q31" i="35" a="1"/>
  <c r="Q31" i="35" s="1"/>
  <c r="M21" i="18" a="1"/>
  <c r="M21" i="18" s="1"/>
  <c r="H75" i="35"/>
  <c r="P35" i="35" a="1"/>
  <c r="P35" i="35" s="1"/>
  <c r="P8" i="35" a="1"/>
  <c r="P8" i="35" s="1"/>
  <c r="Q16" i="35" a="1"/>
  <c r="Q16" i="35" s="1"/>
  <c r="H37" i="35"/>
  <c r="M64" i="35"/>
  <c r="U58" i="35"/>
  <c r="K15" i="18"/>
  <c r="Q24" i="35" a="1"/>
  <c r="Q24" i="35" s="1"/>
  <c r="H69" i="35"/>
  <c r="Q64" i="35" a="1"/>
  <c r="Q64" i="35" s="1"/>
  <c r="P81" i="35" a="1"/>
  <c r="P81" i="35" s="1"/>
  <c r="B49" i="35"/>
  <c r="B88" i="35"/>
  <c r="Q76" i="35" a="1"/>
  <c r="Q76" i="35" s="1"/>
  <c r="H82" i="35"/>
  <c r="B55" i="35"/>
  <c r="P17" i="35" a="1"/>
  <c r="P17" i="35" s="1"/>
  <c r="Q13" i="35" a="1"/>
  <c r="Q13" i="35" s="1"/>
  <c r="H57" i="35"/>
  <c r="B23" i="35"/>
  <c r="P48" i="35" a="1"/>
  <c r="P48" i="35" s="1"/>
  <c r="P55" i="35" a="1"/>
  <c r="P55" i="35" s="1"/>
  <c r="M38" i="18" a="1"/>
  <c r="M38" i="18" s="1"/>
  <c r="H23" i="35"/>
  <c r="M45" i="18" a="1"/>
  <c r="M45" i="18" s="1"/>
  <c r="P71" i="35" a="1"/>
  <c r="P71" i="35" s="1"/>
  <c r="B46" i="35"/>
  <c r="P76" i="35" a="1"/>
  <c r="P76" i="35" s="1"/>
  <c r="B31" i="35"/>
  <c r="P11" i="35" a="1"/>
  <c r="P11" i="35" s="1"/>
  <c r="B79" i="35"/>
  <c r="B37" i="35"/>
  <c r="H44" i="35"/>
  <c r="B38" i="35"/>
  <c r="P34" i="35" a="1"/>
  <c r="P34" i="35" s="1"/>
  <c r="P72" i="35" a="1"/>
  <c r="P72" i="35" s="1"/>
  <c r="M12" i="18" a="1"/>
  <c r="M12" i="18" s="1"/>
  <c r="Q67" i="35" a="1"/>
  <c r="Q67" i="35" s="1"/>
  <c r="B17" i="35"/>
  <c r="M30" i="18" a="1"/>
  <c r="M30" i="18" s="1"/>
  <c r="H66" i="35"/>
  <c r="B45" i="35"/>
  <c r="P32" i="35" a="1"/>
  <c r="P32" i="35" s="1"/>
  <c r="C48" i="18"/>
  <c r="M17" i="18" a="1"/>
  <c r="M17" i="18" s="1"/>
  <c r="P88" i="35" a="1"/>
  <c r="P88" i="35" s="1"/>
  <c r="P24" i="35" a="1"/>
  <c r="P24" i="35" s="1"/>
  <c r="P40" i="35" a="1"/>
  <c r="P40" i="35" s="1"/>
  <c r="B26" i="35"/>
  <c r="M27" i="18" a="1"/>
  <c r="M27" i="18" s="1"/>
  <c r="H15" i="35"/>
  <c r="B85" i="35"/>
  <c r="M10" i="18" a="1"/>
  <c r="M10" i="18" s="1"/>
  <c r="B35" i="35"/>
  <c r="B81" i="35"/>
  <c r="P23" i="35" a="1"/>
  <c r="P23" i="35" s="1"/>
  <c r="B76" i="35"/>
  <c r="B62" i="35"/>
  <c r="M14" i="18" a="1"/>
  <c r="M14" i="18" s="1"/>
  <c r="B14" i="35"/>
  <c r="B67" i="35"/>
  <c r="Q33" i="35" a="1"/>
  <c r="Q33" i="35" s="1"/>
  <c r="B51" i="35"/>
  <c r="H9" i="35"/>
  <c r="H67" i="35"/>
  <c r="B8" i="35"/>
  <c r="M16" i="18" a="1"/>
  <c r="M16" i="18" s="1"/>
  <c r="B64" i="35"/>
  <c r="P9" i="35" a="1"/>
  <c r="P9" i="35" s="1"/>
  <c r="H35" i="35"/>
  <c r="H79" i="35"/>
  <c r="P42" i="35" a="1"/>
  <c r="P42" i="35" s="1"/>
  <c r="Q74" i="35" a="1"/>
  <c r="Q74" i="35" s="1"/>
  <c r="H25" i="35"/>
  <c r="B18" i="35"/>
  <c r="Q66" i="35" a="1"/>
  <c r="Q66" i="35" s="1"/>
  <c r="M35" i="18" a="1"/>
  <c r="M35" i="18" s="1"/>
  <c r="Q37" i="35" a="1"/>
  <c r="Q37" i="35" s="1"/>
  <c r="Q14" i="35" a="1"/>
  <c r="Q14" i="35" s="1"/>
  <c r="H26" i="35"/>
  <c r="P45" i="35" a="1"/>
  <c r="P45" i="35" s="1"/>
  <c r="P56" i="35" a="1"/>
  <c r="P56" i="35" s="1"/>
  <c r="P31" i="35" a="1"/>
  <c r="P31" i="35" s="1"/>
  <c r="B53" i="35"/>
  <c r="B57" i="35"/>
  <c r="B68" i="35"/>
  <c r="P77" i="35" a="1"/>
  <c r="P77" i="35" s="1"/>
  <c r="Q49" i="35" a="1"/>
  <c r="Q49" i="35" s="1"/>
  <c r="P82" i="35" a="1"/>
  <c r="P82" i="35" s="1"/>
  <c r="B83" i="35"/>
  <c r="H33" i="35"/>
  <c r="Q41" i="35" a="1"/>
  <c r="Q41" i="35" s="1"/>
  <c r="P38" i="35" a="1"/>
  <c r="P38" i="35" s="1"/>
  <c r="H17" i="35"/>
  <c r="Q43" i="35" a="1"/>
  <c r="Q43" i="35" s="1"/>
  <c r="H24" i="35"/>
  <c r="P49" i="35" a="1"/>
  <c r="P49" i="35" s="1"/>
  <c r="P39" i="35" a="1"/>
  <c r="P39" i="35" s="1"/>
  <c r="M11" i="18" a="1"/>
  <c r="M11" i="18" s="1"/>
  <c r="H43" i="35"/>
  <c r="P28" i="35" a="1"/>
  <c r="P28" i="35" s="1"/>
  <c r="Q29" i="35" a="1"/>
  <c r="Q29" i="35" s="1"/>
  <c r="B70" i="35"/>
  <c r="M40" i="18" a="1"/>
  <c r="M40" i="18" s="1"/>
  <c r="B74" i="35"/>
  <c r="H14" i="35"/>
  <c r="Q48" i="35" a="1"/>
  <c r="Q48" i="35" s="1"/>
  <c r="P86" i="35" a="1"/>
  <c r="P86" i="35" s="1"/>
  <c r="H60" i="35"/>
  <c r="M39" i="18" a="1"/>
  <c r="M39" i="18" s="1"/>
  <c r="B22" i="35"/>
  <c r="P22" i="35" a="1"/>
  <c r="P22" i="35" s="1"/>
  <c r="P173" i="1"/>
  <c r="Q60" i="35" a="1"/>
  <c r="Q60" i="35" s="1"/>
  <c r="B50" i="35"/>
  <c r="Q71" i="35" a="1"/>
  <c r="Q71" i="35" s="1"/>
  <c r="B86" i="35"/>
  <c r="B63" i="35"/>
  <c r="P25" i="35" a="1"/>
  <c r="P25" i="35" s="1"/>
  <c r="M19" i="18" a="1"/>
  <c r="M19" i="18" s="1"/>
  <c r="H62" i="35"/>
  <c r="H7" i="35"/>
  <c r="B39" i="35"/>
  <c r="H16" i="35"/>
  <c r="P66" i="35" a="1"/>
  <c r="P66" i="35" s="1"/>
  <c r="Q86" i="35" a="1"/>
  <c r="Q86" i="35" s="1"/>
  <c r="P60" i="35" a="1"/>
  <c r="P60" i="35" s="1"/>
  <c r="Q23" i="35" a="1"/>
  <c r="Q23" i="35" s="1"/>
  <c r="Q46" i="35" a="1"/>
  <c r="Q46" i="35" s="1"/>
  <c r="B7" i="35"/>
  <c r="B84" i="35"/>
  <c r="Q62" i="35" a="1"/>
  <c r="Q62" i="35" s="1"/>
  <c r="P65" i="35" a="1"/>
  <c r="P65" i="35" s="1"/>
  <c r="H74" i="35"/>
  <c r="P64" i="35" a="1"/>
  <c r="P64" i="35" s="1"/>
  <c r="H10" i="35"/>
  <c r="Q38" i="35" a="1"/>
  <c r="Q38" i="35" s="1"/>
  <c r="B69" i="35"/>
  <c r="Q27" i="35" a="1"/>
  <c r="Q27" i="35" s="1"/>
  <c r="H30" i="35"/>
  <c r="H88" i="35"/>
  <c r="M37" i="18" a="1"/>
  <c r="M37" i="18" s="1"/>
  <c r="S173" i="1" a="1"/>
  <c r="S173" i="1" s="1"/>
  <c r="H71" i="35"/>
  <c r="P73" i="35" a="1"/>
  <c r="P73" i="35" s="1"/>
  <c r="Q80" i="35" a="1"/>
  <c r="Q80" i="35" s="1"/>
  <c r="C46" i="18"/>
  <c r="Q22" i="35" a="1"/>
  <c r="Q22" i="35" s="1"/>
  <c r="C13" i="18"/>
  <c r="Q32" i="35" a="1"/>
  <c r="Q32" i="35" s="1"/>
  <c r="Q30" i="35" a="1"/>
  <c r="Q30" i="35" s="1"/>
  <c r="H54" i="35"/>
  <c r="B15" i="35"/>
  <c r="H70" i="35"/>
  <c r="P36" i="35" a="1"/>
  <c r="P36" i="35" s="1"/>
  <c r="B75" i="35"/>
  <c r="B48" i="35"/>
  <c r="AC173" i="1"/>
  <c r="H47" i="35"/>
  <c r="H11" i="35"/>
  <c r="M46" i="18" a="1"/>
  <c r="M46" i="18" s="1"/>
  <c r="Q68" i="35" a="1"/>
  <c r="Q68" i="35" s="1"/>
  <c r="H21" i="35"/>
  <c r="M15" i="18" a="1"/>
  <c r="M15" i="18" s="1"/>
  <c r="H86" i="35"/>
  <c r="M26" i="18" a="1"/>
  <c r="M26" i="18" s="1"/>
  <c r="B13" i="35"/>
  <c r="B71" i="35"/>
  <c r="B56" i="35"/>
  <c r="Q84" i="35" a="1"/>
  <c r="Q84" i="35" s="1"/>
  <c r="M42" i="18" a="1"/>
  <c r="M42" i="18" s="1"/>
  <c r="B89" i="35"/>
  <c r="B41" i="35"/>
  <c r="M49" i="18" a="1"/>
  <c r="M49" i="18" s="1"/>
  <c r="P53" i="35" a="1"/>
  <c r="P53" i="35" s="1"/>
  <c r="P59" i="35" a="1"/>
  <c r="P59" i="35" s="1"/>
  <c r="P43" i="35" a="1"/>
  <c r="P43" i="35" s="1"/>
  <c r="P61" i="35" a="1"/>
  <c r="P61" i="35" s="1"/>
  <c r="B30" i="35"/>
  <c r="P84" i="35" a="1"/>
  <c r="P84" i="35" s="1"/>
  <c r="B24" i="35"/>
  <c r="P51" i="35" a="1"/>
  <c r="P51" i="35" s="1"/>
  <c r="Q9" i="35" a="1"/>
  <c r="Q9" i="35" s="1"/>
  <c r="H31" i="35"/>
  <c r="Q63" i="35" a="1"/>
  <c r="Q63" i="35" s="1"/>
  <c r="Q65" i="35" a="1"/>
  <c r="Q65" i="35" s="1"/>
  <c r="Q53" i="35" a="1"/>
  <c r="Q53" i="35" s="1"/>
  <c r="Q57" i="35" a="1"/>
  <c r="Q57" i="35" s="1"/>
  <c r="Q58" i="35" a="1"/>
  <c r="Q58" i="35" s="1"/>
  <c r="Q77" i="35" a="1"/>
  <c r="Q77" i="35" s="1"/>
  <c r="M41" i="18" a="1"/>
  <c r="M41" i="18" s="1"/>
  <c r="B25" i="35"/>
  <c r="P46" i="35"/>
  <c r="Q20" i="18"/>
  <c r="Q33" i="18"/>
  <c r="J7" i="18"/>
  <c r="P7" i="18" s="1"/>
  <c r="B7" i="18" s="1"/>
  <c r="J49" i="35"/>
  <c r="J47" i="18"/>
  <c r="P47" i="18" s="1"/>
  <c r="B47" i="18" s="1"/>
  <c r="E23" i="35"/>
  <c r="O23" i="35" s="1"/>
  <c r="F53" i="35"/>
  <c r="O53" i="35" s="1"/>
  <c r="E33" i="35"/>
  <c r="O33" i="35" s="1"/>
  <c r="J67" i="35"/>
  <c r="E89" i="35"/>
  <c r="O89" i="35" s="1"/>
  <c r="F65" i="35"/>
  <c r="O65" i="35" s="1"/>
  <c r="J71" i="35"/>
  <c r="J7" i="35"/>
  <c r="J26" i="18"/>
  <c r="P26" i="18" s="1"/>
  <c r="B26" i="18" s="1"/>
  <c r="F21" i="35"/>
  <c r="O21" i="35" s="1"/>
  <c r="J23" i="35"/>
  <c r="E25" i="35"/>
  <c r="O25" i="35" s="1"/>
  <c r="J15" i="35"/>
  <c r="J52" i="35"/>
  <c r="F73" i="35"/>
  <c r="O73" i="35" s="1"/>
  <c r="J28" i="18"/>
  <c r="P28" i="18" s="1"/>
  <c r="B28" i="18" s="1"/>
  <c r="J19" i="35"/>
  <c r="F68" i="35"/>
  <c r="O68" i="35" s="1"/>
  <c r="J87" i="35"/>
  <c r="J58" i="35"/>
  <c r="J54" i="35"/>
  <c r="F85" i="35"/>
  <c r="O85" i="35" s="1"/>
  <c r="J10" i="35"/>
  <c r="F17" i="35"/>
  <c r="O17" i="35" s="1"/>
  <c r="J12" i="35"/>
  <c r="E32" i="35"/>
  <c r="O32" i="35" s="1"/>
  <c r="J83" i="35"/>
  <c r="E72" i="35"/>
  <c r="O72" i="35" s="1"/>
  <c r="E54" i="35"/>
  <c r="O54" i="35" s="1"/>
  <c r="J63" i="35"/>
  <c r="J80" i="35"/>
  <c r="J9" i="35"/>
  <c r="J61" i="35"/>
  <c r="J45" i="18"/>
  <c r="P45" i="18" s="1"/>
  <c r="B45" i="18" s="1"/>
  <c r="J88" i="35"/>
  <c r="E74" i="35"/>
  <c r="O74" i="35" s="1"/>
  <c r="J36" i="35"/>
  <c r="J33" i="35"/>
  <c r="J81" i="35"/>
  <c r="U7" i="35"/>
  <c r="J53" i="35"/>
  <c r="T7" i="35"/>
  <c r="J5" i="18"/>
  <c r="P5" i="18" s="1"/>
  <c r="B5" i="18" s="1"/>
  <c r="J27" i="18"/>
  <c r="P27" i="18" s="1"/>
  <c r="B27" i="18" s="1"/>
  <c r="J21" i="35"/>
  <c r="J26" i="35"/>
  <c r="E70" i="35"/>
  <c r="O70" i="35" s="1"/>
  <c r="J31" i="18"/>
  <c r="P31" i="18" s="1"/>
  <c r="B31" i="18" s="1"/>
  <c r="F49" i="35"/>
  <c r="O49" i="35" s="1"/>
  <c r="E48" i="35"/>
  <c r="O48" i="35" s="1"/>
  <c r="J11" i="35"/>
  <c r="J42" i="35"/>
  <c r="G66" i="35"/>
  <c r="O66" i="35" s="1"/>
  <c r="J23" i="18"/>
  <c r="P23" i="18" s="1"/>
  <c r="B23" i="18" s="1"/>
  <c r="J16" i="35"/>
  <c r="J51" i="35"/>
  <c r="J46" i="18"/>
  <c r="P46" i="18" s="1"/>
  <c r="B46" i="18" s="1"/>
  <c r="J79" i="35"/>
  <c r="J32" i="35"/>
  <c r="E19" i="35"/>
  <c r="O19" i="35" s="1"/>
  <c r="J29" i="18"/>
  <c r="P29" i="18" s="1"/>
  <c r="B29" i="18" s="1"/>
  <c r="J47" i="35"/>
  <c r="K27" i="18"/>
  <c r="D24" i="28" s="1"/>
  <c r="J77" i="35"/>
  <c r="J57" i="35"/>
  <c r="J42" i="18"/>
  <c r="P42" i="18" s="1"/>
  <c r="B42" i="18" s="1"/>
  <c r="J41" i="35"/>
  <c r="J16" i="18"/>
  <c r="P16" i="18" s="1"/>
  <c r="B16" i="18" s="1"/>
  <c r="J48" i="35"/>
  <c r="J10" i="18"/>
  <c r="P10" i="18" s="1"/>
  <c r="B10" i="18" s="1"/>
  <c r="E13" i="35"/>
  <c r="O13" i="35" s="1"/>
  <c r="G56" i="35"/>
  <c r="O56" i="35" s="1"/>
  <c r="F63" i="35"/>
  <c r="O63" i="35" s="1"/>
  <c r="J19" i="18"/>
  <c r="P19" i="18" s="1"/>
  <c r="B19" i="18" s="1"/>
  <c r="E88" i="35"/>
  <c r="O88" i="35" s="1"/>
  <c r="J74" i="35"/>
  <c r="N74" i="35" s="1"/>
  <c r="J41" i="18"/>
  <c r="P41" i="18" s="1"/>
  <c r="B41" i="18" s="1"/>
  <c r="J20" i="35"/>
  <c r="E60" i="35"/>
  <c r="O60" i="35" s="1"/>
  <c r="J36" i="18"/>
  <c r="P36" i="18" s="1"/>
  <c r="B36" i="18" s="1"/>
  <c r="J17" i="35"/>
  <c r="E78" i="35"/>
  <c r="O78" i="35" s="1"/>
  <c r="E37" i="35"/>
  <c r="O37" i="35" s="1"/>
  <c r="F61" i="35"/>
  <c r="O61" i="35" s="1"/>
  <c r="E86" i="35"/>
  <c r="O86" i="35" s="1"/>
  <c r="F80" i="35"/>
  <c r="O80" i="35" s="1"/>
  <c r="J45" i="35"/>
  <c r="E44" i="35"/>
  <c r="O44" i="35" s="1"/>
  <c r="G18" i="35"/>
  <c r="O18" i="35" s="1"/>
  <c r="J37" i="35"/>
  <c r="J13" i="18"/>
  <c r="P13" i="18" s="1"/>
  <c r="B13" i="18" s="1"/>
  <c r="E11" i="35"/>
  <c r="O11" i="35" s="1"/>
  <c r="J69" i="35"/>
  <c r="J84" i="35"/>
  <c r="F47" i="35"/>
  <c r="O47" i="35" s="1"/>
  <c r="J72" i="35"/>
  <c r="J18" i="18"/>
  <c r="P18" i="18" s="1"/>
  <c r="B18" i="18" s="1"/>
  <c r="G8" i="35"/>
  <c r="O8" i="35" s="1"/>
  <c r="J24" i="35"/>
  <c r="J56" i="35"/>
  <c r="J49" i="18"/>
  <c r="P49" i="18" s="1"/>
  <c r="B49" i="18" s="1"/>
  <c r="F64" i="35"/>
  <c r="O64" i="35" s="1"/>
  <c r="J24" i="18"/>
  <c r="P24" i="18" s="1"/>
  <c r="B24" i="18" s="1"/>
  <c r="J22" i="18"/>
  <c r="P22" i="18" s="1"/>
  <c r="B22" i="18" s="1"/>
  <c r="J37" i="18"/>
  <c r="P37" i="18" s="1"/>
  <c r="B37" i="18" s="1"/>
  <c r="J44" i="35"/>
  <c r="J68" i="35"/>
  <c r="F14" i="49"/>
  <c r="D14" i="49" s="1"/>
  <c r="D37" i="49" s="1"/>
  <c r="J31" i="35"/>
  <c r="S7" i="35"/>
  <c r="F62" i="35"/>
  <c r="O62" i="35" s="1"/>
  <c r="J46" i="35"/>
  <c r="J48" i="18"/>
  <c r="P48" i="18" s="1"/>
  <c r="B48" i="18" s="1"/>
  <c r="F55" i="35"/>
  <c r="O55" i="35" s="1"/>
  <c r="E87" i="35"/>
  <c r="O87" i="35" s="1"/>
  <c r="J39" i="35"/>
  <c r="J25" i="18"/>
  <c r="P25" i="18" s="1"/>
  <c r="B25" i="18" s="1"/>
  <c r="F76" i="35"/>
  <c r="O76" i="35" s="1"/>
  <c r="F45" i="35"/>
  <c r="O45" i="35" s="1"/>
  <c r="J40" i="35"/>
  <c r="G28" i="35"/>
  <c r="O28" i="35" s="1"/>
  <c r="E10" i="35"/>
  <c r="O10" i="35" s="1"/>
  <c r="J34" i="18"/>
  <c r="P34" i="18" s="1"/>
  <c r="B34" i="18" s="1"/>
  <c r="J43" i="18"/>
  <c r="P43" i="18" s="1"/>
  <c r="B43" i="18" s="1"/>
  <c r="E46" i="35"/>
  <c r="O46" i="35" s="1"/>
  <c r="J39" i="18"/>
  <c r="P39" i="18" s="1"/>
  <c r="B39" i="18" s="1"/>
  <c r="J14" i="18"/>
  <c r="P14" i="18" s="1"/>
  <c r="B14" i="18" s="1"/>
  <c r="G84" i="35"/>
  <c r="O84" i="35" s="1"/>
  <c r="J76" i="35"/>
  <c r="J33" i="18"/>
  <c r="P33" i="18" s="1"/>
  <c r="B33" i="18" s="1"/>
  <c r="F7" i="35"/>
  <c r="O7" i="35" s="1"/>
  <c r="E67" i="35"/>
  <c r="O67" i="35" s="1"/>
  <c r="E15" i="35"/>
  <c r="O15" i="35" s="1"/>
  <c r="J86" i="35"/>
  <c r="J20" i="18"/>
  <c r="P20" i="18" s="1"/>
  <c r="B20" i="18" s="1"/>
  <c r="J59" i="35"/>
  <c r="J13" i="35"/>
  <c r="G30" i="35"/>
  <c r="O30" i="35" s="1"/>
  <c r="F12" i="35"/>
  <c r="O12" i="35" s="1"/>
  <c r="J29" i="35"/>
  <c r="E42" i="35"/>
  <c r="O42" i="35" s="1"/>
  <c r="E26" i="35"/>
  <c r="O26" i="35" s="1"/>
  <c r="K29" i="18"/>
  <c r="D8" i="28" s="1"/>
  <c r="J18" i="35"/>
  <c r="E69" i="35"/>
  <c r="O69" i="35" s="1"/>
  <c r="F52" i="35"/>
  <c r="O52" i="35" s="1"/>
  <c r="E51" i="35"/>
  <c r="O51" i="35" s="1"/>
  <c r="J85" i="35"/>
  <c r="J11" i="18"/>
  <c r="P11" i="18" s="1"/>
  <c r="B11" i="18" s="1"/>
  <c r="F9" i="35"/>
  <c r="O9" i="35" s="1"/>
  <c r="J66" i="35"/>
  <c r="E79" i="35"/>
  <c r="O79" i="35" s="1"/>
  <c r="J21" i="18"/>
  <c r="P21" i="18" s="1"/>
  <c r="B21" i="18" s="1"/>
  <c r="E35" i="35"/>
  <c r="O35" i="35" s="1"/>
  <c r="E20" i="35"/>
  <c r="O20" i="35" s="1"/>
  <c r="E59" i="35"/>
  <c r="O59" i="35" s="1"/>
  <c r="J15" i="18"/>
  <c r="P15" i="18" s="1"/>
  <c r="B15" i="18" s="1"/>
  <c r="J40" i="18"/>
  <c r="P40" i="18" s="1"/>
  <c r="B40" i="18" s="1"/>
  <c r="J70" i="35"/>
  <c r="R7" i="35"/>
  <c r="J38" i="18"/>
  <c r="P38" i="18" s="1"/>
  <c r="B38" i="18" s="1"/>
  <c r="E58" i="35"/>
  <c r="O58" i="35" s="1"/>
  <c r="K30" i="18"/>
  <c r="D21" i="28" s="1"/>
  <c r="J8" i="18"/>
  <c r="P8" i="18" s="1"/>
  <c r="B8" i="18" s="1"/>
  <c r="J44" i="18"/>
  <c r="P44" i="18" s="1"/>
  <c r="B44" i="18" s="1"/>
  <c r="J30" i="18"/>
  <c r="P30" i="18" s="1"/>
  <c r="B30" i="18" s="1"/>
  <c r="J35" i="18"/>
  <c r="P35" i="18" s="1"/>
  <c r="B35" i="18" s="1"/>
  <c r="J32" i="18"/>
  <c r="P32" i="18" s="1"/>
  <c r="B32" i="18" s="1"/>
  <c r="F14" i="35"/>
  <c r="O14" i="35" s="1"/>
  <c r="J50" i="35"/>
  <c r="E77" i="35"/>
  <c r="O77" i="35" s="1"/>
  <c r="J12" i="18"/>
  <c r="P12" i="18" s="1"/>
  <c r="B12" i="18" s="1"/>
  <c r="E39" i="35"/>
  <c r="O39" i="35" s="1"/>
  <c r="J6" i="18"/>
  <c r="P6" i="18" s="1"/>
  <c r="B6" i="18" s="1"/>
  <c r="F40" i="35"/>
  <c r="O40" i="35" s="1"/>
  <c r="J27" i="35"/>
  <c r="J9" i="18"/>
  <c r="P9" i="18" s="1"/>
  <c r="B9" i="18" s="1"/>
  <c r="F82" i="35"/>
  <c r="O82" i="35" s="1"/>
  <c r="A7" i="31" a="1"/>
  <c r="J73" i="35"/>
  <c r="J17" i="18"/>
  <c r="P17" i="18" s="1"/>
  <c r="B17" i="18" s="1"/>
  <c r="F81" i="35"/>
  <c r="O81" i="35" s="1"/>
  <c r="O173" i="1"/>
  <c r="K24" i="18"/>
  <c r="D7" i="28" s="1"/>
  <c r="F76" i="31" l="1"/>
  <c r="B77" i="31"/>
  <c r="D78" i="31"/>
  <c r="F78" i="31"/>
  <c r="B79" i="31"/>
  <c r="C79" i="31"/>
  <c r="C80" i="31"/>
  <c r="F80" i="31"/>
  <c r="D77" i="31"/>
  <c r="B78" i="31"/>
  <c r="D79" i="31"/>
  <c r="F79" i="31"/>
  <c r="B80" i="31"/>
  <c r="D80" i="31"/>
  <c r="C77" i="31"/>
  <c r="F77" i="31"/>
  <c r="C78" i="31"/>
  <c r="Q78" i="31"/>
  <c r="Q80" i="31"/>
  <c r="Q79" i="31"/>
  <c r="Q77" i="31"/>
  <c r="P77" i="31"/>
  <c r="P80" i="31"/>
  <c r="K77" i="31"/>
  <c r="K78" i="31"/>
  <c r="O77" i="31"/>
  <c r="M79" i="31"/>
  <c r="M80" i="31"/>
  <c r="O78" i="31"/>
  <c r="I79" i="31"/>
  <c r="J79" i="31" s="1"/>
  <c r="K79" i="31"/>
  <c r="O80" i="31"/>
  <c r="N79" i="31"/>
  <c r="I77" i="31"/>
  <c r="J77" i="31" s="1"/>
  <c r="I80" i="31"/>
  <c r="J80" i="31" s="1"/>
  <c r="E79" i="31"/>
  <c r="M77" i="31"/>
  <c r="E80" i="31"/>
  <c r="K80" i="31"/>
  <c r="L77" i="31"/>
  <c r="L80" i="31"/>
  <c r="E78" i="31"/>
  <c r="H80" i="31"/>
  <c r="L79" i="31"/>
  <c r="P79" i="31"/>
  <c r="L78" i="31"/>
  <c r="P78" i="31"/>
  <c r="H77" i="31"/>
  <c r="O79" i="31"/>
  <c r="N77" i="31"/>
  <c r="N78" i="31"/>
  <c r="N80" i="31"/>
  <c r="M78" i="31"/>
  <c r="I78" i="31"/>
  <c r="J78" i="31" s="1"/>
  <c r="H78" i="31"/>
  <c r="H79" i="31"/>
  <c r="E77" i="31"/>
  <c r="N19" i="35"/>
  <c r="N81" i="35"/>
  <c r="N67" i="35"/>
  <c r="N76" i="35"/>
  <c r="N23" i="35"/>
  <c r="F74" i="31"/>
  <c r="F75" i="31"/>
  <c r="N58" i="35"/>
  <c r="N60" i="35"/>
  <c r="N54" i="35"/>
  <c r="N49" i="35"/>
  <c r="N77" i="35"/>
  <c r="N87" i="35"/>
  <c r="N42" i="35"/>
  <c r="N27" i="35"/>
  <c r="N57" i="35"/>
  <c r="N9" i="35"/>
  <c r="N15" i="35"/>
  <c r="N88" i="35"/>
  <c r="N39" i="35"/>
  <c r="N84" i="35"/>
  <c r="N69" i="35"/>
  <c r="N44" i="35"/>
  <c r="N61" i="35"/>
  <c r="N86" i="35"/>
  <c r="N43" i="35"/>
  <c r="N45" i="35"/>
  <c r="N7" i="35"/>
  <c r="N12" i="35"/>
  <c r="N50" i="35"/>
  <c r="N26" i="35"/>
  <c r="N80" i="35"/>
  <c r="N11" i="35"/>
  <c r="N52" i="35"/>
  <c r="N48" i="35"/>
  <c r="N41" i="35"/>
  <c r="N18" i="35"/>
  <c r="N51" i="35"/>
  <c r="N37" i="35"/>
  <c r="N68" i="35"/>
  <c r="N16" i="35"/>
  <c r="N66" i="35"/>
  <c r="N73" i="35"/>
  <c r="N71" i="35"/>
  <c r="N33" i="35"/>
  <c r="N56" i="35"/>
  <c r="N36" i="35"/>
  <c r="N46" i="35"/>
  <c r="N38" i="35"/>
  <c r="N85" i="35"/>
  <c r="N64" i="35"/>
  <c r="N72" i="35"/>
  <c r="N29" i="35"/>
  <c r="N20" i="35"/>
  <c r="N40" i="35"/>
  <c r="N21" i="35"/>
  <c r="N10" i="35"/>
  <c r="N31" i="35"/>
  <c r="N70" i="35"/>
  <c r="N14" i="35"/>
  <c r="N32" i="35"/>
  <c r="N24" i="35"/>
  <c r="T2" i="35"/>
  <c r="N47" i="35"/>
  <c r="N53" i="35"/>
  <c r="N55" i="35"/>
  <c r="N78" i="35"/>
  <c r="N13" i="35"/>
  <c r="E7" i="28"/>
  <c r="G7" i="28"/>
  <c r="N63" i="35"/>
  <c r="N62" i="35"/>
  <c r="N65" i="35"/>
  <c r="N8" i="35"/>
  <c r="N25" i="35"/>
  <c r="N82" i="35"/>
  <c r="N34" i="35"/>
  <c r="N17" i="35"/>
  <c r="N30" i="35"/>
  <c r="N35" i="35"/>
  <c r="N83" i="35"/>
  <c r="S2" i="35"/>
  <c r="U2" i="35"/>
  <c r="N89" i="35"/>
  <c r="N79" i="35"/>
  <c r="N59" i="35"/>
  <c r="K57" i="31"/>
  <c r="P12" i="31"/>
  <c r="P51" i="31"/>
  <c r="N16" i="31"/>
  <c r="D51" i="31"/>
  <c r="D22" i="31"/>
  <c r="I44" i="31"/>
  <c r="J44" i="31" s="1"/>
  <c r="H12" i="31"/>
  <c r="B68" i="31"/>
  <c r="N26" i="31"/>
  <c r="O59" i="31"/>
  <c r="P71" i="31"/>
  <c r="B44" i="31"/>
  <c r="N11" i="31"/>
  <c r="Q50" i="31"/>
  <c r="O13" i="31"/>
  <c r="P35" i="31"/>
  <c r="L33" i="31"/>
  <c r="L22" i="31"/>
  <c r="B28" i="31"/>
  <c r="Q54" i="31"/>
  <c r="M14" i="31"/>
  <c r="M13" i="31"/>
  <c r="H56" i="31"/>
  <c r="P16" i="31"/>
  <c r="P29" i="31"/>
  <c r="K71" i="31"/>
  <c r="O50" i="31"/>
  <c r="H73" i="31"/>
  <c r="K18" i="31"/>
  <c r="C13" i="31"/>
  <c r="B71" i="31"/>
  <c r="B53" i="31"/>
  <c r="O31" i="31"/>
  <c r="M20" i="31"/>
  <c r="O51" i="31"/>
  <c r="E65" i="31"/>
  <c r="N9" i="31"/>
  <c r="Q70" i="31"/>
  <c r="L28" i="31"/>
  <c r="B47" i="31"/>
  <c r="Q44" i="31"/>
  <c r="H30" i="31"/>
  <c r="K58" i="31"/>
  <c r="M52" i="31"/>
  <c r="M36" i="31"/>
  <c r="H17" i="31"/>
  <c r="K27" i="31"/>
  <c r="L8" i="31"/>
  <c r="N30" i="31"/>
  <c r="O28" i="31"/>
  <c r="N13" i="31"/>
  <c r="P65" i="31"/>
  <c r="O46" i="31"/>
  <c r="Q13" i="31"/>
  <c r="D65" i="31"/>
  <c r="D59" i="31"/>
  <c r="K73" i="31"/>
  <c r="C44" i="31"/>
  <c r="I35" i="31"/>
  <c r="J35" i="31" s="1"/>
  <c r="C30" i="31"/>
  <c r="F65" i="31"/>
  <c r="B23" i="31"/>
  <c r="C52" i="31"/>
  <c r="L43" i="31"/>
  <c r="Q34" i="31"/>
  <c r="M34" i="31"/>
  <c r="K9" i="31"/>
  <c r="L20" i="31"/>
  <c r="K29" i="31"/>
  <c r="L39" i="31"/>
  <c r="H44" i="31"/>
  <c r="B72" i="31"/>
  <c r="M76" i="31"/>
  <c r="Q66" i="31"/>
  <c r="N55" i="31"/>
  <c r="M66" i="31"/>
  <c r="Q60" i="31"/>
  <c r="O38" i="31"/>
  <c r="F20" i="31"/>
  <c r="F60" i="31"/>
  <c r="N64" i="31"/>
  <c r="M51" i="31"/>
  <c r="F57" i="31"/>
  <c r="L12" i="31"/>
  <c r="B55" i="31"/>
  <c r="Q35" i="31"/>
  <c r="F45" i="31"/>
  <c r="E71" i="31"/>
  <c r="H22" i="31"/>
  <c r="C18" i="31"/>
  <c r="O63" i="31"/>
  <c r="D16" i="31"/>
  <c r="B46" i="31"/>
  <c r="K47" i="31"/>
  <c r="P48" i="31"/>
  <c r="L52" i="31"/>
  <c r="F63" i="31"/>
  <c r="O18" i="31"/>
  <c r="B18" i="31"/>
  <c r="C12" i="31"/>
  <c r="C16" i="31"/>
  <c r="B74" i="31"/>
  <c r="C42" i="31"/>
  <c r="O71" i="31"/>
  <c r="N48" i="31"/>
  <c r="B29" i="31"/>
  <c r="P32" i="31"/>
  <c r="O11" i="31"/>
  <c r="C74" i="31"/>
  <c r="H15" i="31"/>
  <c r="L13" i="31"/>
  <c r="B54" i="31"/>
  <c r="M56" i="31"/>
  <c r="H14" i="31"/>
  <c r="D40" i="31"/>
  <c r="F40" i="31"/>
  <c r="D8" i="31"/>
  <c r="O20" i="31"/>
  <c r="C75" i="31"/>
  <c r="N44" i="31"/>
  <c r="D17" i="31"/>
  <c r="Q20" i="31"/>
  <c r="L56" i="31"/>
  <c r="M63" i="31"/>
  <c r="K20" i="31"/>
  <c r="N75" i="31"/>
  <c r="B69" i="31"/>
  <c r="Q42" i="31"/>
  <c r="K13" i="31"/>
  <c r="K62" i="31"/>
  <c r="I48" i="31"/>
  <c r="J48" i="31" s="1"/>
  <c r="N42" i="31"/>
  <c r="I60" i="31"/>
  <c r="J60" i="31" s="1"/>
  <c r="O60" i="31"/>
  <c r="I72" i="31"/>
  <c r="D54" i="31"/>
  <c r="L27" i="31"/>
  <c r="N52" i="31"/>
  <c r="B65" i="31"/>
  <c r="D70" i="31"/>
  <c r="M33" i="31"/>
  <c r="K76" i="31"/>
  <c r="N34" i="31"/>
  <c r="B27" i="31"/>
  <c r="C33" i="31"/>
  <c r="D10" i="31"/>
  <c r="K56" i="31"/>
  <c r="F67" i="31"/>
  <c r="H72" i="31"/>
  <c r="O57" i="31"/>
  <c r="B32" i="31"/>
  <c r="O34" i="31"/>
  <c r="I68" i="31"/>
  <c r="J68" i="31" s="1"/>
  <c r="F28" i="31"/>
  <c r="Q61" i="31"/>
  <c r="K35" i="31"/>
  <c r="N19" i="31"/>
  <c r="Q51" i="31"/>
  <c r="C60" i="31"/>
  <c r="N12" i="31"/>
  <c r="P39" i="31"/>
  <c r="F11" i="31"/>
  <c r="L63" i="31"/>
  <c r="D63" i="31"/>
  <c r="P75" i="31"/>
  <c r="M41" i="31"/>
  <c r="Q28" i="31"/>
  <c r="F25" i="31"/>
  <c r="O21" i="31"/>
  <c r="O64" i="31"/>
  <c r="P11" i="31"/>
  <c r="M46" i="31"/>
  <c r="L62" i="31"/>
  <c r="D9" i="31"/>
  <c r="L69" i="31"/>
  <c r="I27" i="31"/>
  <c r="J27" i="31" s="1"/>
  <c r="N56" i="31"/>
  <c r="E69" i="31"/>
  <c r="D32" i="31"/>
  <c r="E72" i="31"/>
  <c r="D36" i="31"/>
  <c r="F64" i="31"/>
  <c r="M71" i="31"/>
  <c r="L60" i="31"/>
  <c r="L21" i="31"/>
  <c r="Q33" i="31"/>
  <c r="Q15" i="31"/>
  <c r="D23" i="31"/>
  <c r="L72" i="31"/>
  <c r="C62" i="31"/>
  <c r="P52" i="31"/>
  <c r="O74" i="31"/>
  <c r="L30" i="31"/>
  <c r="M30" i="31"/>
  <c r="N36" i="31"/>
  <c r="K31" i="31"/>
  <c r="Q30" i="31"/>
  <c r="O67" i="31"/>
  <c r="F31" i="31"/>
  <c r="M18" i="31"/>
  <c r="K55" i="31"/>
  <c r="B15" i="31"/>
  <c r="L54" i="31"/>
  <c r="D39" i="31"/>
  <c r="C43" i="31"/>
  <c r="F21" i="31"/>
  <c r="K37" i="31"/>
  <c r="P38" i="31"/>
  <c r="L14" i="31"/>
  <c r="K30" i="31"/>
  <c r="P14" i="31"/>
  <c r="C56" i="31"/>
  <c r="M39" i="31"/>
  <c r="Q39" i="31"/>
  <c r="F35" i="31"/>
  <c r="H60" i="31"/>
  <c r="I28" i="31"/>
  <c r="J28" i="31" s="1"/>
  <c r="N71" i="31"/>
  <c r="K11" i="31"/>
  <c r="M50" i="31"/>
  <c r="L53" i="31"/>
  <c r="K15" i="31"/>
  <c r="N14" i="31"/>
  <c r="K19" i="31"/>
  <c r="F58" i="31"/>
  <c r="F30" i="31"/>
  <c r="Q68" i="31"/>
  <c r="E68" i="31"/>
  <c r="M15" i="31"/>
  <c r="H68" i="31"/>
  <c r="M48" i="31"/>
  <c r="F13" i="31"/>
  <c r="P47" i="31"/>
  <c r="M28" i="31"/>
  <c r="B39" i="31"/>
  <c r="C39" i="31"/>
  <c r="F70" i="31"/>
  <c r="Q62" i="31"/>
  <c r="H37" i="31"/>
  <c r="O19" i="31"/>
  <c r="L67" i="31"/>
  <c r="C40" i="31"/>
  <c r="L11" i="31"/>
  <c r="D56" i="31"/>
  <c r="Q73" i="31"/>
  <c r="C22" i="31"/>
  <c r="H51" i="31"/>
  <c r="M42" i="31"/>
  <c r="F14" i="31"/>
  <c r="C28" i="31"/>
  <c r="B51" i="31"/>
  <c r="L65" i="31"/>
  <c r="I74" i="31"/>
  <c r="P13" i="31"/>
  <c r="P73" i="31"/>
  <c r="Q72" i="31"/>
  <c r="B13" i="31"/>
  <c r="H24" i="31"/>
  <c r="M67" i="31"/>
  <c r="N28" i="31"/>
  <c r="C65" i="31"/>
  <c r="O68" i="31"/>
  <c r="O24" i="31"/>
  <c r="Q49" i="31"/>
  <c r="C54" i="31"/>
  <c r="F50" i="31"/>
  <c r="Q63" i="31"/>
  <c r="P31" i="31"/>
  <c r="D27" i="31"/>
  <c r="H29" i="31"/>
  <c r="H71" i="31" a="1"/>
  <c r="H71" i="31" s="1"/>
  <c r="B60" i="31"/>
  <c r="H20" i="31"/>
  <c r="B42" i="31"/>
  <c r="E66" i="31"/>
  <c r="O43" i="31"/>
  <c r="N22" i="31"/>
  <c r="C15" i="31"/>
  <c r="H39" i="31"/>
  <c r="B34" i="31"/>
  <c r="H11" i="31"/>
  <c r="F71" i="31"/>
  <c r="K67" i="31"/>
  <c r="N35" i="31"/>
  <c r="K52" i="31"/>
  <c r="P23" i="31"/>
  <c r="F29" i="31"/>
  <c r="F68" i="31"/>
  <c r="P49" i="31"/>
  <c r="N53" i="31"/>
  <c r="C69" i="31"/>
  <c r="C64" i="31"/>
  <c r="M27" i="31"/>
  <c r="O35" i="31"/>
  <c r="K46" i="31"/>
  <c r="C70" i="31"/>
  <c r="L36" i="31"/>
  <c r="M68" i="31"/>
  <c r="D34" i="31"/>
  <c r="L41" i="31"/>
  <c r="D41" i="31"/>
  <c r="Q9" i="31"/>
  <c r="H8" i="31"/>
  <c r="N40" i="31"/>
  <c r="L68" i="31"/>
  <c r="F27" i="31"/>
  <c r="H23" i="31"/>
  <c r="O15" i="31"/>
  <c r="F26" i="31"/>
  <c r="P24" i="31"/>
  <c r="K16" i="31"/>
  <c r="L73" i="31"/>
  <c r="D62" i="31"/>
  <c r="H70" i="31"/>
  <c r="H58" i="31"/>
  <c r="C23" i="31"/>
  <c r="Q45" i="31"/>
  <c r="D44" i="31"/>
  <c r="M73" i="31"/>
  <c r="C35" i="31"/>
  <c r="O53" i="31"/>
  <c r="L45" i="31"/>
  <c r="E56" i="31"/>
  <c r="O41" i="31"/>
  <c r="H25" i="31"/>
  <c r="N24" i="31"/>
  <c r="N18" i="31"/>
  <c r="P74" i="31"/>
  <c r="P42" i="31"/>
  <c r="E58" i="31"/>
  <c r="N51" i="31"/>
  <c r="Q46" i="31"/>
  <c r="F42" i="31"/>
  <c r="H62" i="31"/>
  <c r="L58" i="31"/>
  <c r="P21" i="31"/>
  <c r="C8" i="31"/>
  <c r="H75" i="31"/>
  <c r="N59" i="31"/>
  <c r="P57" i="31"/>
  <c r="C72" i="31"/>
  <c r="O56" i="31"/>
  <c r="P70" i="31"/>
  <c r="O66" i="31"/>
  <c r="L38" i="31"/>
  <c r="P76" i="31"/>
  <c r="C25" i="31"/>
  <c r="F59" i="31"/>
  <c r="C63" i="31"/>
  <c r="B21" i="31"/>
  <c r="F37" i="31"/>
  <c r="H59" i="31"/>
  <c r="N43" i="31"/>
  <c r="E64" i="31"/>
  <c r="Q23" i="31"/>
  <c r="O36" i="31"/>
  <c r="H49" i="31"/>
  <c r="M60" i="31"/>
  <c r="D33" i="31"/>
  <c r="L76" i="31"/>
  <c r="M9" i="31"/>
  <c r="P34" i="31"/>
  <c r="E74" i="31"/>
  <c r="B49" i="31"/>
  <c r="E62" i="31"/>
  <c r="F41" i="31"/>
  <c r="P20" i="31"/>
  <c r="F72" i="31"/>
  <c r="M22" i="31"/>
  <c r="C61" i="31"/>
  <c r="E14" i="31"/>
  <c r="N72" i="31"/>
  <c r="H43" i="31"/>
  <c r="D49" i="31"/>
  <c r="P61" i="31"/>
  <c r="Q65" i="31"/>
  <c r="K28" i="31"/>
  <c r="B30" i="31"/>
  <c r="O14" i="31"/>
  <c r="M59" i="31"/>
  <c r="I73" i="31"/>
  <c r="E54" i="31"/>
  <c r="O17" i="31"/>
  <c r="I17" i="31"/>
  <c r="J17" i="31" s="1"/>
  <c r="I45" i="31"/>
  <c r="J45" i="31" s="1"/>
  <c r="D19" i="31"/>
  <c r="P25" i="31"/>
  <c r="L17" i="31"/>
  <c r="K50" i="31"/>
  <c r="B67" i="31"/>
  <c r="B64" i="31"/>
  <c r="Q47" i="31"/>
  <c r="N38" i="31"/>
  <c r="O49" i="31"/>
  <c r="K65" i="31"/>
  <c r="H63" i="31"/>
  <c r="H34" i="31"/>
  <c r="C36" i="31"/>
  <c r="L66" i="31"/>
  <c r="K24" i="31"/>
  <c r="O76" i="31"/>
  <c r="D20" i="31"/>
  <c r="F62" i="31"/>
  <c r="C27" i="31"/>
  <c r="M35" i="31"/>
  <c r="P27" i="31"/>
  <c r="B36" i="31"/>
  <c r="O45" i="31"/>
  <c r="C67" i="31"/>
  <c r="I36" i="31"/>
  <c r="J36" i="31" s="1"/>
  <c r="H10" i="31"/>
  <c r="P30" i="31"/>
  <c r="C9" i="31"/>
  <c r="C32" i="31"/>
  <c r="B57" i="31"/>
  <c r="C34" i="31"/>
  <c r="Q26" i="31"/>
  <c r="K44" i="31"/>
  <c r="O55" i="31"/>
  <c r="Q57" i="31"/>
  <c r="D60" i="31"/>
  <c r="F22" i="31"/>
  <c r="L23" i="31"/>
  <c r="M58" i="31"/>
  <c r="P19" i="31"/>
  <c r="M23" i="31"/>
  <c r="B8" i="31"/>
  <c r="H19" i="31"/>
  <c r="E46" i="31"/>
  <c r="M72" i="31"/>
  <c r="D61" i="31"/>
  <c r="H33" i="31"/>
  <c r="M64" i="31"/>
  <c r="I64" i="31"/>
  <c r="J64" i="31" s="1"/>
  <c r="Q32" i="31"/>
  <c r="P46" i="31"/>
  <c r="F15" i="31"/>
  <c r="L31" i="31"/>
  <c r="N46" i="31"/>
  <c r="E47" i="31"/>
  <c r="L51" i="31"/>
  <c r="B16" i="31"/>
  <c r="I19" i="31"/>
  <c r="J19" i="31" s="1"/>
  <c r="E76" i="31"/>
  <c r="C11" i="31"/>
  <c r="C51" i="31"/>
  <c r="D28" i="31"/>
  <c r="E70" i="31"/>
  <c r="D64" i="31"/>
  <c r="D75" i="31"/>
  <c r="K64" i="31"/>
  <c r="Q11" i="31"/>
  <c r="K36" i="31"/>
  <c r="H46" i="31"/>
  <c r="N29" i="31"/>
  <c r="D15" i="31"/>
  <c r="O40" i="31"/>
  <c r="O54" i="31"/>
  <c r="H48" i="31"/>
  <c r="F36" i="31"/>
  <c r="L42" i="31"/>
  <c r="P8" i="31"/>
  <c r="Q59" i="31"/>
  <c r="Q31" i="31"/>
  <c r="B22" i="31"/>
  <c r="L32" i="31"/>
  <c r="L25" i="31"/>
  <c r="K39" i="31"/>
  <c r="E51" i="31"/>
  <c r="N45" i="31"/>
  <c r="N25" i="31"/>
  <c r="O23" i="31"/>
  <c r="F12" i="31"/>
  <c r="C38" i="31"/>
  <c r="D57" i="31"/>
  <c r="A7" i="31"/>
  <c r="B24" i="31"/>
  <c r="K49" i="31"/>
  <c r="K70" i="31"/>
  <c r="E60" i="31"/>
  <c r="H57" i="31"/>
  <c r="Q64" i="31"/>
  <c r="C17" i="31"/>
  <c r="L64" i="31"/>
  <c r="E57" i="31"/>
  <c r="L48" i="31"/>
  <c r="P37" i="31"/>
  <c r="N49" i="31"/>
  <c r="B50" i="31"/>
  <c r="P44" i="31"/>
  <c r="H53" i="31"/>
  <c r="Q24" i="31"/>
  <c r="L75" i="31"/>
  <c r="N39" i="31"/>
  <c r="H55" i="31"/>
  <c r="D43" i="31"/>
  <c r="F32" i="31"/>
  <c r="Q55" i="31"/>
  <c r="H31" i="31"/>
  <c r="C71" i="31"/>
  <c r="D35" i="31"/>
  <c r="K34" i="31"/>
  <c r="H35" i="31"/>
  <c r="H38" i="31"/>
  <c r="P69" i="31"/>
  <c r="L49" i="31"/>
  <c r="B45" i="31"/>
  <c r="N66" i="31"/>
  <c r="Q43" i="31"/>
  <c r="H47" i="31"/>
  <c r="F73" i="31"/>
  <c r="B38" i="31"/>
  <c r="Q37" i="31"/>
  <c r="B26" i="31"/>
  <c r="D47" i="31"/>
  <c r="L35" i="31"/>
  <c r="L47" i="31"/>
  <c r="N68" i="31"/>
  <c r="B12" i="31"/>
  <c r="K32" i="31"/>
  <c r="P58" i="31"/>
  <c r="N17" i="31"/>
  <c r="N63" i="31"/>
  <c r="F34" i="31"/>
  <c r="O75" i="31"/>
  <c r="C66" i="31"/>
  <c r="Q29" i="31"/>
  <c r="H16" i="31"/>
  <c r="H40" i="31"/>
  <c r="B73" i="31"/>
  <c r="O10" i="31"/>
  <c r="K21" i="31"/>
  <c r="K42" i="31"/>
  <c r="H69" i="31"/>
  <c r="M32" i="31"/>
  <c r="L9" i="31"/>
  <c r="M61" i="31"/>
  <c r="Q21" i="31"/>
  <c r="C49" i="31"/>
  <c r="C47" i="31"/>
  <c r="D14" i="31"/>
  <c r="L59" i="31"/>
  <c r="D24" i="31"/>
  <c r="P41" i="31"/>
  <c r="K41" i="31"/>
  <c r="P28" i="31"/>
  <c r="P53" i="31"/>
  <c r="N20" i="31"/>
  <c r="H74" i="31"/>
  <c r="I59" i="31"/>
  <c r="J59" i="31" s="1"/>
  <c r="D66" i="31"/>
  <c r="K72" i="31"/>
  <c r="N58" i="31"/>
  <c r="N57" i="31"/>
  <c r="C24" i="31"/>
  <c r="O69" i="31"/>
  <c r="D72" i="31"/>
  <c r="F49" i="31"/>
  <c r="K14" i="31"/>
  <c r="H54" i="31"/>
  <c r="M38" i="31"/>
  <c r="K75" i="31"/>
  <c r="L57" i="31"/>
  <c r="N27" i="31"/>
  <c r="B58" i="31"/>
  <c r="M12" i="31"/>
  <c r="Q22" i="31"/>
  <c r="C10" i="31"/>
  <c r="P36" i="31"/>
  <c r="O72" i="31"/>
  <c r="Q38" i="31"/>
  <c r="L16" i="31"/>
  <c r="H45" i="31"/>
  <c r="Q17" i="31"/>
  <c r="C55" i="31"/>
  <c r="H64" i="31"/>
  <c r="O48" i="31"/>
  <c r="C21" i="31"/>
  <c r="B41" i="31"/>
  <c r="D38" i="31"/>
  <c r="H32" i="31"/>
  <c r="F9" i="31"/>
  <c r="D46" i="31"/>
  <c r="P43" i="31"/>
  <c r="Q71" i="31"/>
  <c r="D26" i="31"/>
  <c r="B70" i="31"/>
  <c r="E53" i="31"/>
  <c r="M24" i="31"/>
  <c r="P10" i="31"/>
  <c r="D13" i="31"/>
  <c r="D76" i="31"/>
  <c r="C41" i="31"/>
  <c r="B76" i="31"/>
  <c r="P60" i="31"/>
  <c r="C14" i="31"/>
  <c r="P63" i="31"/>
  <c r="H66" i="31"/>
  <c r="C46" i="31"/>
  <c r="L18" i="31"/>
  <c r="M53" i="31"/>
  <c r="Q12" i="31"/>
  <c r="P45" i="31"/>
  <c r="D42" i="31"/>
  <c r="F33" i="31"/>
  <c r="L71" i="31"/>
  <c r="M47" i="31"/>
  <c r="L26" i="31"/>
  <c r="C68" i="31"/>
  <c r="K26" i="31"/>
  <c r="M62" i="31"/>
  <c r="L29" i="31"/>
  <c r="P72" i="31"/>
  <c r="O32" i="31"/>
  <c r="N61" i="31"/>
  <c r="M57" i="31"/>
  <c r="F47" i="31"/>
  <c r="N47" i="31"/>
  <c r="F61" i="31"/>
  <c r="L24" i="31"/>
  <c r="P64" i="31"/>
  <c r="P18" i="31"/>
  <c r="B25" i="31"/>
  <c r="B52" i="31"/>
  <c r="B56" i="31"/>
  <c r="M65" i="31"/>
  <c r="B40" i="31"/>
  <c r="K17" i="31"/>
  <c r="C20" i="31"/>
  <c r="N8" i="31"/>
  <c r="F48" i="31"/>
  <c r="P9" i="31"/>
  <c r="K25" i="31"/>
  <c r="N15" i="31"/>
  <c r="C29" i="31"/>
  <c r="H50" i="31"/>
  <c r="F54" i="31"/>
  <c r="C45" i="31"/>
  <c r="H42" i="31"/>
  <c r="D53" i="31"/>
  <c r="L15" i="31"/>
  <c r="C59" i="31"/>
  <c r="D74" i="31"/>
  <c r="K38" i="31"/>
  <c r="D69" i="31"/>
  <c r="B48" i="31"/>
  <c r="K60" i="31"/>
  <c r="O30" i="31"/>
  <c r="D37" i="31"/>
  <c r="L40" i="31"/>
  <c r="P33" i="31"/>
  <c r="P22" i="31"/>
  <c r="L70" i="31"/>
  <c r="N62" i="31"/>
  <c r="K22" i="31"/>
  <c r="L55" i="31"/>
  <c r="M21" i="31"/>
  <c r="C26" i="31"/>
  <c r="Q48" i="31"/>
  <c r="L37" i="31"/>
  <c r="L10" i="31"/>
  <c r="D71" i="31"/>
  <c r="D29" i="31"/>
  <c r="C57" i="31"/>
  <c r="K61" i="31"/>
  <c r="B43" i="31"/>
  <c r="K48" i="31"/>
  <c r="H41" i="31"/>
  <c r="N60" i="31"/>
  <c r="P54" i="31"/>
  <c r="B11" i="31"/>
  <c r="D18" i="31"/>
  <c r="D21" i="31"/>
  <c r="D11" i="31"/>
  <c r="F18" i="31"/>
  <c r="I54" i="31"/>
  <c r="J54" i="31" s="1"/>
  <c r="I55" i="31"/>
  <c r="J55" i="31" s="1"/>
  <c r="I75" i="31"/>
  <c r="J75" i="31" s="1"/>
  <c r="I26" i="31"/>
  <c r="J26" i="31" s="1"/>
  <c r="I51" i="31"/>
  <c r="J51" i="31" s="1"/>
  <c r="I65" i="31"/>
  <c r="J65" i="31" s="1"/>
  <c r="I67" i="31"/>
  <c r="J67" i="31" s="1"/>
  <c r="I9" i="31"/>
  <c r="J9" i="31" s="1"/>
  <c r="I8" i="31"/>
  <c r="J8" i="31" s="1"/>
  <c r="I15" i="31"/>
  <c r="J15" i="31" s="1"/>
  <c r="I42" i="31"/>
  <c r="J42" i="31" s="1"/>
  <c r="I71" i="31"/>
  <c r="J71" i="31" s="1"/>
  <c r="H28" i="31"/>
  <c r="F17" i="31"/>
  <c r="F38" i="31"/>
  <c r="K74" i="31"/>
  <c r="F10" i="31"/>
  <c r="F66" i="31"/>
  <c r="O12" i="31"/>
  <c r="K51" i="31"/>
  <c r="B35" i="31"/>
  <c r="D48" i="31"/>
  <c r="Q74" i="31"/>
  <c r="Q53" i="31"/>
  <c r="B61" i="31"/>
  <c r="P62" i="31"/>
  <c r="D31" i="31"/>
  <c r="M11" i="31"/>
  <c r="C73" i="31"/>
  <c r="D25" i="31"/>
  <c r="K10" i="31"/>
  <c r="O65" i="31"/>
  <c r="Q19" i="31"/>
  <c r="B37" i="31"/>
  <c r="F44" i="31"/>
  <c r="E75" i="31"/>
  <c r="M70" i="31"/>
  <c r="M45" i="31"/>
  <c r="B20" i="31"/>
  <c r="F46" i="31"/>
  <c r="D73" i="31"/>
  <c r="D30" i="31"/>
  <c r="F51" i="31"/>
  <c r="P17" i="31"/>
  <c r="H61" i="31"/>
  <c r="P26" i="31"/>
  <c r="H65" i="31"/>
  <c r="H21" i="31"/>
  <c r="P50" i="31"/>
  <c r="M40" i="31"/>
  <c r="H52" i="31"/>
  <c r="M37" i="31"/>
  <c r="K63" i="31"/>
  <c r="N23" i="31"/>
  <c r="Q14" i="31"/>
  <c r="N74" i="31"/>
  <c r="O26" i="31"/>
  <c r="H67" i="31"/>
  <c r="K54" i="31"/>
  <c r="B75" i="31"/>
  <c r="B10" i="31"/>
  <c r="B14" i="31"/>
  <c r="D55" i="31"/>
  <c r="H18" i="31"/>
  <c r="K23" i="31"/>
  <c r="O73" i="31"/>
  <c r="F8" i="31"/>
  <c r="L61" i="31"/>
  <c r="P15" i="31"/>
  <c r="C53" i="31"/>
  <c r="N50" i="31"/>
  <c r="Q10" i="31"/>
  <c r="D12" i="31"/>
  <c r="B17" i="31"/>
  <c r="B66" i="31"/>
  <c r="F56" i="31"/>
  <c r="I66" i="31"/>
  <c r="J66" i="31" s="1"/>
  <c r="N69" i="31"/>
  <c r="P66" i="31"/>
  <c r="N31" i="31"/>
  <c r="N37" i="31"/>
  <c r="N32" i="31"/>
  <c r="O44" i="31"/>
  <c r="C19" i="31"/>
  <c r="C31" i="31"/>
  <c r="B63" i="31"/>
  <c r="K40" i="31"/>
  <c r="C58" i="31"/>
  <c r="D68" i="31"/>
  <c r="O33" i="31"/>
  <c r="Q52" i="31"/>
  <c r="Q40" i="31"/>
  <c r="O47" i="31"/>
  <c r="N21" i="31"/>
  <c r="C50" i="31"/>
  <c r="F39" i="31"/>
  <c r="F69" i="31"/>
  <c r="L19" i="31"/>
  <c r="H36" i="31"/>
  <c r="Q58" i="31"/>
  <c r="C76" i="31"/>
  <c r="M69" i="31"/>
  <c r="D67" i="31"/>
  <c r="K43" i="31"/>
  <c r="C48" i="31"/>
  <c r="K53" i="31"/>
  <c r="K12" i="31"/>
  <c r="D50" i="31"/>
  <c r="M16" i="31"/>
  <c r="L46" i="31"/>
  <c r="P40" i="31"/>
  <c r="I61" i="31"/>
  <c r="J61" i="31" s="1"/>
  <c r="Q16" i="31"/>
  <c r="F19" i="31"/>
  <c r="H26" i="31"/>
  <c r="K66" i="31"/>
  <c r="O61" i="31"/>
  <c r="P55" i="31"/>
  <c r="E73" i="31"/>
  <c r="B9" i="31"/>
  <c r="B59" i="31"/>
  <c r="L34" i="31"/>
  <c r="I56" i="31"/>
  <c r="J56" i="31" s="1"/>
  <c r="Q25" i="31"/>
  <c r="Q69" i="31"/>
  <c r="I16" i="31"/>
  <c r="J16" i="31" s="1"/>
  <c r="P59" i="31"/>
  <c r="O9" i="31"/>
  <c r="K68" i="31"/>
  <c r="F55" i="31"/>
  <c r="Q41" i="31"/>
  <c r="L50" i="31"/>
  <c r="Q36" i="31"/>
  <c r="F53" i="31"/>
  <c r="O25" i="31"/>
  <c r="O8" i="31"/>
  <c r="H9" i="31"/>
  <c r="M25" i="31"/>
  <c r="M10" i="31"/>
  <c r="O39" i="31"/>
  <c r="C37" i="31"/>
  <c r="M8" i="31"/>
  <c r="M26" i="31"/>
  <c r="M74" i="31"/>
  <c r="N67" i="31"/>
  <c r="O70" i="31"/>
  <c r="Q56" i="31"/>
  <c r="K69" i="31"/>
  <c r="Q75" i="31"/>
  <c r="B31" i="31"/>
  <c r="O29" i="31"/>
  <c r="N70" i="31"/>
  <c r="M29" i="31"/>
  <c r="N33" i="31"/>
  <c r="P68" i="31"/>
  <c r="E42" i="31"/>
  <c r="D58" i="31"/>
  <c r="H27" i="31"/>
  <c r="P56" i="31"/>
  <c r="O37" i="31"/>
  <c r="L74" i="31"/>
  <c r="M54" i="31"/>
  <c r="I29" i="31"/>
  <c r="J29" i="31" s="1"/>
  <c r="I32" i="31"/>
  <c r="J32" i="31" s="1"/>
  <c r="I47" i="31"/>
  <c r="J47" i="31" s="1"/>
  <c r="F16" i="31"/>
  <c r="F52" i="31"/>
  <c r="M31" i="31"/>
  <c r="N10" i="31"/>
  <c r="I21" i="31"/>
  <c r="J21" i="31" s="1"/>
  <c r="B19" i="31"/>
  <c r="K33" i="31"/>
  <c r="I18" i="31"/>
  <c r="J18" i="31" s="1"/>
  <c r="I34" i="31"/>
  <c r="J34" i="31" s="1"/>
  <c r="I76" i="31"/>
  <c r="J76" i="31" s="1"/>
  <c r="I62" i="31"/>
  <c r="J62" i="31" s="1"/>
  <c r="F24" i="31"/>
  <c r="D45" i="31"/>
  <c r="I39" i="31"/>
  <c r="J39" i="31" s="1"/>
  <c r="H13" i="31"/>
  <c r="I20" i="31"/>
  <c r="J20" i="31" s="1"/>
  <c r="M49" i="31"/>
  <c r="N41" i="31"/>
  <c r="K59" i="31"/>
  <c r="I22" i="31"/>
  <c r="J22" i="31" s="1"/>
  <c r="I37" i="31"/>
  <c r="J37" i="31" s="1"/>
  <c r="I33" i="31"/>
  <c r="J33" i="31" s="1"/>
  <c r="L44" i="31"/>
  <c r="N73" i="31"/>
  <c r="D52" i="31"/>
  <c r="I46" i="31"/>
  <c r="J46" i="31" s="1"/>
  <c r="I70" i="31"/>
  <c r="J70" i="31" s="1"/>
  <c r="O16" i="31"/>
  <c r="O52" i="31"/>
  <c r="K45" i="31"/>
  <c r="I23" i="31"/>
  <c r="J23" i="31" s="1"/>
  <c r="I52" i="31"/>
  <c r="J52" i="31" s="1"/>
  <c r="I53" i="31"/>
  <c r="J53" i="31" s="1"/>
  <c r="Q18" i="31"/>
  <c r="I57" i="31"/>
  <c r="J57" i="31" s="1"/>
  <c r="M44" i="31"/>
  <c r="F23" i="31"/>
  <c r="B33" i="31"/>
  <c r="I69" i="31"/>
  <c r="J69" i="31" s="1"/>
  <c r="I43" i="31"/>
  <c r="J43" i="31" s="1"/>
  <c r="M55" i="31"/>
  <c r="I31" i="31"/>
  <c r="J31" i="31" s="1"/>
  <c r="I12" i="31"/>
  <c r="J12" i="31" s="1"/>
  <c r="Q8" i="31"/>
  <c r="F43" i="31"/>
  <c r="Q27" i="31"/>
  <c r="I11" i="31"/>
  <c r="J11" i="31" s="1"/>
  <c r="I63" i="31"/>
  <c r="J63" i="31" s="1"/>
  <c r="O27" i="31"/>
  <c r="H76" i="31"/>
  <c r="E59" i="31"/>
  <c r="O22" i="31"/>
  <c r="I14" i="31"/>
  <c r="J14" i="31" s="1"/>
  <c r="I49" i="31"/>
  <c r="J49" i="31" s="1"/>
  <c r="O62" i="31"/>
  <c r="N65" i="31"/>
  <c r="Q67" i="31"/>
  <c r="K8" i="31"/>
  <c r="M17" i="31"/>
  <c r="I30" i="31"/>
  <c r="J30" i="31" s="1"/>
  <c r="I41" i="31"/>
  <c r="J41" i="31" s="1"/>
  <c r="I10" i="31"/>
  <c r="J10" i="31" s="1"/>
  <c r="I58" i="31"/>
  <c r="J58" i="31" s="1"/>
  <c r="M75" i="31"/>
  <c r="N54" i="31"/>
  <c r="N76" i="31"/>
  <c r="I40" i="31"/>
  <c r="J40" i="31" s="1"/>
  <c r="I38" i="31"/>
  <c r="J38" i="31" s="1"/>
  <c r="I24" i="31"/>
  <c r="J24" i="31" s="1"/>
  <c r="M19" i="31"/>
  <c r="Q76" i="31"/>
  <c r="O42" i="31"/>
  <c r="O58" i="31"/>
  <c r="I50" i="31"/>
  <c r="J50" i="31" s="1"/>
  <c r="I13" i="31"/>
  <c r="J13" i="31" s="1"/>
  <c r="I25" i="31"/>
  <c r="J25" i="31" s="1"/>
  <c r="M43" i="31"/>
  <c r="P67" i="31"/>
  <c r="B62" i="31"/>
  <c r="R2" i="35"/>
  <c r="Q44" i="18"/>
  <c r="Q38" i="18"/>
  <c r="Q48" i="18"/>
  <c r="Q25" i="18"/>
  <c r="Q5" i="18"/>
  <c r="Q34" i="18"/>
  <c r="Q6" i="18"/>
  <c r="Q27" i="18"/>
  <c r="Q39" i="18"/>
  <c r="Q13" i="18"/>
  <c r="Q11" i="18"/>
  <c r="Q21" i="18"/>
  <c r="Q12" i="18"/>
  <c r="Q9" i="18"/>
  <c r="Q24" i="18"/>
  <c r="X173" i="1"/>
  <c r="Q40" i="18"/>
  <c r="Q36" i="18"/>
  <c r="Q47" i="18"/>
  <c r="Q8" i="18"/>
  <c r="Q35" i="18"/>
  <c r="Q45" i="18"/>
  <c r="Q42" i="18"/>
  <c r="Q22" i="18"/>
  <c r="Q28" i="18"/>
  <c r="Q43" i="18"/>
  <c r="Q41" i="18"/>
  <c r="Q26" i="18"/>
  <c r="Q46" i="18"/>
  <c r="Q15" i="18"/>
  <c r="Q17" i="18"/>
  <c r="Q16" i="18"/>
  <c r="Q14" i="18"/>
  <c r="Q29" i="18"/>
  <c r="Q23" i="18"/>
  <c r="Q31" i="18"/>
  <c r="Q49" i="18"/>
  <c r="Q19" i="18"/>
  <c r="Q30" i="18"/>
  <c r="Q7" i="18"/>
  <c r="Q32" i="18"/>
  <c r="Q37" i="18"/>
  <c r="Q18" i="18"/>
  <c r="N28" i="35"/>
  <c r="N22" i="35"/>
  <c r="N75" i="35"/>
  <c r="Q4" i="31" l="1"/>
  <c r="H7" i="28"/>
  <c r="G8" i="28"/>
  <c r="F7" i="28"/>
  <c r="N7" i="28" s="1"/>
  <c r="M8" i="28" s="1"/>
  <c r="E8" i="28"/>
  <c r="F7" i="31"/>
  <c r="O7" i="31"/>
  <c r="P7" i="31"/>
  <c r="Q7" i="31"/>
  <c r="B7" i="31"/>
  <c r="N7" i="31"/>
  <c r="D7" i="31"/>
  <c r="H7" i="31"/>
  <c r="K7" i="31"/>
  <c r="L7" i="31"/>
  <c r="C7" i="31"/>
  <c r="M7" i="31"/>
  <c r="I7" i="31"/>
  <c r="J7" i="31" s="1"/>
  <c r="F8" i="28" l="1"/>
  <c r="N8" i="28" s="1"/>
  <c r="M9" i="28" s="1"/>
  <c r="E9" i="28"/>
  <c r="H8" i="28"/>
  <c r="G9" i="28"/>
  <c r="G10" i="28" l="1"/>
  <c r="H9" i="28"/>
  <c r="E10" i="28"/>
  <c r="F9" i="28"/>
  <c r="N9" i="28" s="1"/>
  <c r="M10" i="28" s="1"/>
  <c r="G11" i="28" l="1"/>
  <c r="H10" i="28"/>
  <c r="E11" i="28"/>
  <c r="F10" i="28"/>
  <c r="N10" i="28" s="1"/>
  <c r="M11" i="28" s="1"/>
  <c r="E12" i="28" l="1"/>
  <c r="F11" i="28"/>
  <c r="N11" i="28" s="1"/>
  <c r="M12" i="28" s="1"/>
  <c r="G12" i="28"/>
  <c r="H11" i="28"/>
  <c r="E13" i="28" l="1"/>
  <c r="F12" i="28"/>
  <c r="N12" i="28" s="1"/>
  <c r="M13" i="28" s="1"/>
  <c r="G13" i="28"/>
  <c r="H12" i="28"/>
  <c r="H13" i="28" l="1"/>
  <c r="G14" i="28"/>
  <c r="E14" i="28"/>
  <c r="F13" i="28"/>
  <c r="N13" i="28" s="1"/>
  <c r="M14" i="28" s="1"/>
  <c r="E15" i="28" l="1"/>
  <c r="F14" i="28"/>
  <c r="N14" i="28" s="1"/>
  <c r="M15" i="28" s="1"/>
  <c r="H14" i="28"/>
  <c r="G15" i="28"/>
  <c r="H15" i="28" l="1"/>
  <c r="G16" i="28"/>
  <c r="F15" i="28"/>
  <c r="N15" i="28" s="1"/>
  <c r="M16" i="28" s="1"/>
  <c r="M17" i="28" s="1"/>
  <c r="E16" i="28"/>
  <c r="E17" i="28" l="1"/>
  <c r="F16" i="28"/>
  <c r="L16" i="28" s="1"/>
  <c r="O16" i="28" s="1"/>
  <c r="H16" i="28"/>
  <c r="G17" i="28"/>
  <c r="G18" i="28" l="1"/>
  <c r="H17" i="28"/>
  <c r="E18" i="28"/>
  <c r="F17" i="28"/>
  <c r="N17" i="28" s="1"/>
  <c r="M18" i="28" s="1"/>
  <c r="F18" i="28" l="1"/>
  <c r="N18" i="28" s="1"/>
  <c r="M19" i="28" s="1"/>
  <c r="M20" i="28" s="1"/>
  <c r="E19" i="28"/>
  <c r="G19" i="28"/>
  <c r="H18" i="28"/>
  <c r="F19" i="28" l="1"/>
  <c r="L19" i="28" s="1"/>
  <c r="O19" i="28" s="1"/>
  <c r="E20" i="28"/>
  <c r="H19" i="28"/>
  <c r="G20" i="28"/>
  <c r="G21" i="28" l="1"/>
  <c r="H20" i="28"/>
  <c r="F20" i="28"/>
  <c r="N20" i="28" s="1"/>
  <c r="M21" i="28" s="1"/>
  <c r="E21" i="28"/>
  <c r="H21" i="28" l="1"/>
  <c r="G22" i="28"/>
  <c r="E22" i="28"/>
  <c r="F21" i="28"/>
  <c r="N21" i="28" s="1"/>
  <c r="M22" i="28" s="1"/>
  <c r="F22" i="28" l="1"/>
  <c r="N22" i="28" s="1"/>
  <c r="M23" i="28" s="1"/>
  <c r="M24" i="28" s="1"/>
  <c r="E23" i="28"/>
  <c r="G23" i="28"/>
  <c r="H22" i="28"/>
  <c r="G24" i="28" l="1"/>
  <c r="H23" i="28"/>
  <c r="F23" i="28"/>
  <c r="L23" i="28" s="1"/>
  <c r="O23" i="28" s="1"/>
  <c r="E24" i="28"/>
  <c r="F24" i="28" l="1"/>
  <c r="N24" i="28" s="1"/>
  <c r="M25" i="28" s="1"/>
  <c r="E25" i="28"/>
  <c r="H24" i="28"/>
  <c r="G25" i="28"/>
  <c r="E26" i="28" l="1"/>
  <c r="F25" i="28"/>
  <c r="N25" i="28" s="1"/>
  <c r="M26" i="28" s="1"/>
  <c r="H25" i="28"/>
  <c r="G26" i="28"/>
  <c r="H26" i="28" l="1"/>
  <c r="G27" i="28"/>
  <c r="E27" i="28"/>
  <c r="F26" i="28"/>
  <c r="N26" i="28" s="1"/>
  <c r="M27" i="28" s="1"/>
  <c r="F27" i="28" l="1"/>
  <c r="N27" i="28" s="1"/>
  <c r="M28" i="28" s="1"/>
  <c r="E28" i="28"/>
  <c r="H27" i="28"/>
  <c r="G28" i="28"/>
  <c r="H28" i="28" l="1"/>
  <c r="G29" i="28"/>
  <c r="F28" i="28"/>
  <c r="N28" i="28" s="1"/>
  <c r="M29" i="28" s="1"/>
  <c r="E29" i="28"/>
  <c r="E30" i="28" l="1"/>
  <c r="F30" i="28" s="1"/>
  <c r="L30" i="28" s="1"/>
  <c r="O30" i="28" s="1"/>
  <c r="F29" i="28"/>
  <c r="N29" i="28" s="1"/>
  <c r="M30" i="28" s="1"/>
  <c r="G30" i="28"/>
  <c r="H30" i="28" s="1"/>
  <c r="H29" i="28"/>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BEE07168-F477-4F17-95EE-F43A866D7F31}" keepAlive="1" name="Query - Page 1 (3)" description="Connection to the 'Page 1 (3)' query in the workbook." type="5" refreshedVersion="8" background="1" saveData="1">
    <dbPr connection="Provider=Microsoft.Mashup.OleDb.1;Data Source=$Workbook$;Location=&quot;Page 1 (3)&quot;;Extended Properties=&quot;&quot;" command="SELECT * FROM [Page 1 (3)]"/>
  </connection>
</connection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<sst xmlns="http://schemas.openxmlformats.org/spreadsheetml/2006/main" count="9168" uniqueCount="2609">
  <si>
    <t>System</t>
  </si>
  <si>
    <t>Customer</t>
  </si>
  <si>
    <t>SAT</t>
  </si>
  <si>
    <t>Site</t>
  </si>
  <si>
    <t>CR51</t>
  </si>
  <si>
    <t>Intel</t>
  </si>
  <si>
    <t>Intel-U-Hil-Fab D1X</t>
  </si>
  <si>
    <t>GY86</t>
  </si>
  <si>
    <t>EX04</t>
  </si>
  <si>
    <t>ASML</t>
  </si>
  <si>
    <t>NA</t>
  </si>
  <si>
    <t>VHV-LAB-PF</t>
  </si>
  <si>
    <t>GT69</t>
  </si>
  <si>
    <t>TSMC</t>
  </si>
  <si>
    <t>TSMC-U-HSINCHU-Fab-12</t>
  </si>
  <si>
    <t>IF68</t>
  </si>
  <si>
    <t>Samsung</t>
  </si>
  <si>
    <t>Samsung_KR</t>
  </si>
  <si>
    <t>Years</t>
  </si>
  <si>
    <t>Weeks</t>
  </si>
  <si>
    <t>week</t>
  </si>
  <si>
    <t>Intel_tot</t>
  </si>
  <si>
    <t>01</t>
  </si>
  <si>
    <t>02</t>
  </si>
  <si>
    <t>202502</t>
  </si>
  <si>
    <t>03</t>
  </si>
  <si>
    <t>202503</t>
  </si>
  <si>
    <t>04</t>
  </si>
  <si>
    <t>202504</t>
  </si>
  <si>
    <t>05</t>
  </si>
  <si>
    <t>202505</t>
  </si>
  <si>
    <t>06</t>
  </si>
  <si>
    <t>202506</t>
  </si>
  <si>
    <t>07</t>
  </si>
  <si>
    <t>202507</t>
  </si>
  <si>
    <t>08</t>
  </si>
  <si>
    <t>202508</t>
  </si>
  <si>
    <t>09</t>
  </si>
  <si>
    <t>202509</t>
  </si>
  <si>
    <t>202510</t>
  </si>
  <si>
    <t>202511</t>
  </si>
  <si>
    <t>202512</t>
  </si>
  <si>
    <t>202513</t>
  </si>
  <si>
    <t>202514</t>
  </si>
  <si>
    <t>202515</t>
  </si>
  <si>
    <t>202516</t>
  </si>
  <si>
    <t>202517</t>
  </si>
  <si>
    <t>202518</t>
  </si>
  <si>
    <t>202519</t>
  </si>
  <si>
    <t>202520</t>
  </si>
  <si>
    <t>202521</t>
  </si>
  <si>
    <t>202522</t>
  </si>
  <si>
    <t>202523</t>
  </si>
  <si>
    <t>202524</t>
  </si>
  <si>
    <t>now</t>
  </si>
  <si>
    <t>this weekstart</t>
  </si>
  <si>
    <t>1week begin</t>
  </si>
  <si>
    <t>4week begin</t>
  </si>
  <si>
    <t>13week begin</t>
  </si>
  <si>
    <t>offset:</t>
  </si>
  <si>
    <t>#WK</t>
  </si>
  <si>
    <t>Intel Reliability</t>
  </si>
  <si>
    <t>Date</t>
  </si>
  <si>
    <t>Year</t>
  </si>
  <si>
    <t>Week Number</t>
  </si>
  <si>
    <t>Year-Week Number</t>
  </si>
  <si>
    <t>Productive Hours</t>
  </si>
  <si>
    <t>Up Time</t>
  </si>
  <si>
    <t>WK Difference</t>
  </si>
  <si>
    <t>Column1</t>
  </si>
  <si>
    <t>do not use</t>
  </si>
  <si>
    <t xml:space="preserve">Reliability </t>
  </si>
  <si>
    <t>13 wma</t>
  </si>
  <si>
    <t>Productive Hours (h)</t>
  </si>
  <si>
    <t>Uptime (h)</t>
  </si>
  <si>
    <t>P hits</t>
  </si>
  <si>
    <t>U hits</t>
  </si>
  <si>
    <t xml:space="preserve">MTBFp (h) </t>
  </si>
  <si>
    <t xml:space="preserve">MTBFu (h) </t>
  </si>
  <si>
    <t>4 wma</t>
  </si>
  <si>
    <t>1 wma</t>
  </si>
  <si>
    <t>&lt;--- inserted to X check calculated values below</t>
  </si>
  <si>
    <t>Total</t>
  </si>
  <si>
    <t>Week</t>
  </si>
  <si>
    <t>CR51_p_hits</t>
  </si>
  <si>
    <t>CR51_u_hits</t>
  </si>
  <si>
    <t>GY86_p_hits</t>
  </si>
  <si>
    <t>GY86_u_hits</t>
  </si>
  <si>
    <t>p_hits</t>
  </si>
  <si>
    <t>u_hits</t>
  </si>
  <si>
    <t>FC</t>
  </si>
  <si>
    <t xml:space="preserve">Av engineer </t>
  </si>
  <si>
    <t>FC-002</t>
  </si>
  <si>
    <t>ANHG</t>
  </si>
  <si>
    <t>FC-004</t>
  </si>
  <si>
    <t>FC-010</t>
  </si>
  <si>
    <t>ARWY </t>
  </si>
  <si>
    <t>FC-012</t>
  </si>
  <si>
    <t>FC-003</t>
  </si>
  <si>
    <t>JHVD </t>
  </si>
  <si>
    <t>FC-048</t>
  </si>
  <si>
    <t>FC-050</t>
  </si>
  <si>
    <t>FC-071</t>
  </si>
  <si>
    <t>JMTP </t>
  </si>
  <si>
    <t>FC-072</t>
  </si>
  <si>
    <t>FC-076</t>
  </si>
  <si>
    <t>KNGN</t>
  </si>
  <si>
    <t>FC-078</t>
  </si>
  <si>
    <t>FC-041</t>
  </si>
  <si>
    <t>MFSX</t>
  </si>
  <si>
    <t>FC-005</t>
  </si>
  <si>
    <t>MKWQ</t>
  </si>
  <si>
    <t>FC-006</t>
  </si>
  <si>
    <t>FC-007</t>
  </si>
  <si>
    <t>FC-008</t>
  </si>
  <si>
    <t>FC-009</t>
  </si>
  <si>
    <t>FC-063</t>
  </si>
  <si>
    <t>FC-065</t>
  </si>
  <si>
    <t>FC-001</t>
  </si>
  <si>
    <t xml:space="preserve">SDLG </t>
  </si>
  <si>
    <t>FC-038</t>
  </si>
  <si>
    <t>FC-031</t>
  </si>
  <si>
    <t>FC-057</t>
  </si>
  <si>
    <t>FC-042</t>
  </si>
  <si>
    <t>FC-024</t>
  </si>
  <si>
    <t>STRG</t>
  </si>
  <si>
    <t>FC-025</t>
  </si>
  <si>
    <t>FC-027</t>
  </si>
  <si>
    <t>FC-040</t>
  </si>
  <si>
    <t>FC-056</t>
  </si>
  <si>
    <t>FC-087</t>
  </si>
  <si>
    <t>EVHV</t>
  </si>
  <si>
    <t>FC-066</t>
  </si>
  <si>
    <t>FC-084</t>
  </si>
  <si>
    <t>FC-011</t>
  </si>
  <si>
    <t>FC-013</t>
  </si>
  <si>
    <t>FC-014</t>
  </si>
  <si>
    <t>FC-015</t>
  </si>
  <si>
    <t>FC-016</t>
  </si>
  <si>
    <t>Info</t>
  </si>
  <si>
    <t>Data</t>
  </si>
  <si>
    <t>Data Range</t>
  </si>
  <si>
    <t>WK2502-WK2527</t>
  </si>
  <si>
    <t>Total Productive Hours</t>
  </si>
  <si>
    <t>Total Operational Time</t>
  </si>
  <si>
    <t>#Hits</t>
  </si>
  <si>
    <t>Down Time</t>
  </si>
  <si>
    <t>Uptime</t>
  </si>
  <si>
    <t>13 Weeks TOPX</t>
  </si>
  <si>
    <t>Error Code</t>
  </si>
  <si>
    <t>Average Duration</t>
  </si>
  <si>
    <t># Hits</t>
  </si>
  <si>
    <t>Global Reduced Hits</t>
  </si>
  <si>
    <t>Overall MTBF Improvement</t>
  </si>
  <si>
    <t>Individual MTBF Gain</t>
  </si>
  <si>
    <t>Individual Hit Rate Gain</t>
  </si>
  <si>
    <t>Loss</t>
  </si>
  <si>
    <t>AV Loss</t>
  </si>
  <si>
    <t>Baseline (Total)</t>
  </si>
  <si>
    <t>XLD</t>
  </si>
  <si>
    <t>System Specific</t>
  </si>
  <si>
    <t>WX-802A</t>
  </si>
  <si>
    <t>DW-5C00</t>
  </si>
  <si>
    <t>WE-0406</t>
  </si>
  <si>
    <t>WP-2C1D</t>
  </si>
  <si>
    <t>CN-00A5</t>
  </si>
  <si>
    <t>KI-6206</t>
  </si>
  <si>
    <t>WH-3106</t>
  </si>
  <si>
    <t>KE-A003</t>
  </si>
  <si>
    <t>RQ-B006</t>
  </si>
  <si>
    <t>LAW-1002</t>
  </si>
  <si>
    <t>LAA-010B</t>
  </si>
  <si>
    <t>MI-FED5</t>
  </si>
  <si>
    <t>MEP-010D</t>
  </si>
  <si>
    <t>LAB-003A</t>
  </si>
  <si>
    <t>WH-19F3</t>
  </si>
  <si>
    <t>RY-9802</t>
  </si>
  <si>
    <t>PG-48B4</t>
  </si>
  <si>
    <t>SF-4305</t>
  </si>
  <si>
    <t>PX-2823</t>
  </si>
  <si>
    <t>XNC-00C0</t>
  </si>
  <si>
    <t>PG-6208</t>
  </si>
  <si>
    <t>CN-0008</t>
  </si>
  <si>
    <t>WX-2A15</t>
  </si>
  <si>
    <t>IS-1363</t>
  </si>
  <si>
    <t>UL-AF18</t>
  </si>
  <si>
    <t>CN-0001</t>
  </si>
  <si>
    <t>WP-5805</t>
  </si>
  <si>
    <t>DIS-06C2</t>
  </si>
  <si>
    <t>PX-0A14</t>
  </si>
  <si>
    <t>Grand Total</t>
  </si>
  <si>
    <t>Baseline</t>
  </si>
  <si>
    <t>D&amp;E Baseline</t>
  </si>
  <si>
    <t>Solution Released</t>
  </si>
  <si>
    <t>Solution Known</t>
  </si>
  <si>
    <t>Solution Capability</t>
  </si>
  <si>
    <t>Under investigation</t>
  </si>
  <si>
    <t>Investigation Capability</t>
  </si>
  <si>
    <t>Need Investigation</t>
  </si>
  <si>
    <t>Capability</t>
  </si>
  <si>
    <t>Root Error</t>
  </si>
  <si>
    <t>Week_Number</t>
  </si>
  <si>
    <t>Year_Week_Number</t>
  </si>
  <si>
    <t>SDT_Timestamp</t>
  </si>
  <si>
    <t>Description</t>
  </si>
  <si>
    <t>EPmID</t>
  </si>
  <si>
    <t>Duration</t>
  </si>
  <si>
    <t>SO</t>
  </si>
  <si>
    <t>AIR</t>
  </si>
  <si>
    <t>link</t>
  </si>
  <si>
    <t>AIR_issue_confirmed</t>
  </si>
  <si>
    <t>AIR_FC</t>
  </si>
  <si>
    <t>Air_issue_description</t>
  </si>
  <si>
    <t>Close_notes</t>
  </si>
  <si>
    <t>WY</t>
  </si>
  <si>
    <t>P_Hits</t>
  </si>
  <si>
    <t>U_Hits</t>
  </si>
  <si>
    <t>Reconciled</t>
  </si>
  <si>
    <t>AIR2</t>
  </si>
  <si>
    <t>Event_code</t>
  </si>
  <si>
    <t>Category</t>
  </si>
  <si>
    <t>Week_Diff</t>
  </si>
  <si>
    <t>In_MTBFP_AND_Ulist</t>
  </si>
  <si>
    <t>Link_Timestamp</t>
  </si>
  <si>
    <t>Check_P_U</t>
  </si>
  <si>
    <t>NomolaPos</t>
  </si>
  <si>
    <t>RQ-8120</t>
  </si>
  <si>
    <t>09:07:00</t>
  </si>
  <si>
    <t>EpmID:104643| SCN - Lot Abort for RS-Reinit (Lot Abort) | RQ-8120 |</t>
  </si>
  <si>
    <t>P847221</t>
  </si>
  <si>
    <t>Y</t>
  </si>
  <si>
    <t>MEP-0106</t>
  </si>
  <si>
    <t>05:30:00</t>
  </si>
  <si>
    <t>EpmID:104638| SRC - Down after Lot Abort | MEP-0106 |</t>
  </si>
  <si>
    <t>FC-712</t>
  </si>
  <si>
    <t>P851510</t>
  </si>
  <si>
    <t>LSP-01B3</t>
  </si>
  <si>
    <t>14:05:00</t>
  </si>
  <si>
    <t>EpmID:105038| SRC - DL error unable to load customer jobs. | LSP-01B3 |</t>
  </si>
  <si>
    <t>N</t>
  </si>
  <si>
    <t>DW-56C6</t>
  </si>
  <si>
    <t>00:25:00</t>
  </si>
  <si>
    <t>EpmID:105030| SCN - DW-56C6 Lot Abort | DW-56C6 |</t>
  </si>
  <si>
    <t>P820381</t>
  </si>
  <si>
    <t>LAB-002D</t>
  </si>
  <si>
    <t>00:14:00</t>
  </si>
  <si>
    <t>EpmID:105044| SRC - Lot abort for SRC error | LAB-002D |</t>
  </si>
  <si>
    <t>00:55:00</t>
  </si>
  <si>
    <t>EpmID:105095| SCN - Lot abort for PF residue OOL | RQ-8120 |</t>
  </si>
  <si>
    <t>09:42:00</t>
  </si>
  <si>
    <t>EpmID:105031| CO2 - TRUC RF error | LAB-002D |</t>
  </si>
  <si>
    <t>ZH-221D</t>
  </si>
  <si>
    <t>13:39:00</t>
  </si>
  <si>
    <t>EpmID:105070| SCN - Lot Abort for ZH-221D | ZH-221D |</t>
  </si>
  <si>
    <t>P814232</t>
  </si>
  <si>
    <t>06:12:00</t>
  </si>
  <si>
    <t>EpmID:105077| SCN - Lot abort ZH-221D | ZH-221D |</t>
  </si>
  <si>
    <t>KV-9211</t>
  </si>
  <si>
    <t>21:36:00</t>
  </si>
  <si>
    <t>EpmID:105088| SCN - lot ops failed for mx action | KV-9211 |</t>
  </si>
  <si>
    <t>FC-062</t>
  </si>
  <si>
    <t>02:25:00</t>
  </si>
  <si>
    <t>EpmID:105043| SRC- TRUC RF laser generation driver NOK (Lot Abort) | LAB-002D |</t>
  </si>
  <si>
    <t>21:17:00</t>
  </si>
  <si>
    <t>EpmID:105050| SCN - HSSL_failed_during MX | ZH-221D |</t>
  </si>
  <si>
    <t>RQ-9002</t>
  </si>
  <si>
    <t>05:22:00</t>
  </si>
  <si>
    <t>EpmID:105018| SCN - Lot Abort | RQ-9002 |</t>
  </si>
  <si>
    <t>P757279</t>
  </si>
  <si>
    <t>06:50:00</t>
  </si>
  <si>
    <t>EpmID:105047| SCN - lot abort Ilias sensor | ZH-221D |</t>
  </si>
  <si>
    <t>P853275</t>
  </si>
  <si>
    <t>17:48:00</t>
  </si>
  <si>
    <t>EpmID:105083| SCN - lot abort Ilias sensor | ZH-221D |</t>
  </si>
  <si>
    <t>20:59:00</t>
  </si>
  <si>
    <t>EpmID:105045| SCN - ZH-221D Recovery and Containment (Lot Abort) | ZH-221D |</t>
  </si>
  <si>
    <t>WH-2626</t>
  </si>
  <si>
    <t>00:30:00</t>
  </si>
  <si>
    <t>EpmID:104984| SCN - Refresh Closing wafer | WH-2626 | Scanner Repairs</t>
  </si>
  <si>
    <t>Lot Failed to Start</t>
  </si>
  <si>
    <t>ZF-4392</t>
  </si>
  <si>
    <t>12:43:00</t>
  </si>
  <si>
    <t>EpmID:105061| SCN - lot aborted by ZF-4392 | ZF-4392 |</t>
  </si>
  <si>
    <t>P839414</t>
  </si>
  <si>
    <t>05:59:00</t>
  </si>
  <si>
    <t>EpmID:105058| SCN - ZH-221D Recovery (Lot Abort) | ZH-221D |</t>
  </si>
  <si>
    <t>Track-Comm</t>
  </si>
  <si>
    <t>21:02:00</t>
  </si>
  <si>
    <t>EpmID:105075| SCN - Recovery from track out of sync | ND |</t>
  </si>
  <si>
    <t>06:28:00</t>
  </si>
  <si>
    <t>EpmID:104990| SRC - Lot abort recovery for DL error+ POB setup recovery | LAB-002D |</t>
  </si>
  <si>
    <t>PG-6206</t>
  </si>
  <si>
    <t>18:00:00</t>
  </si>
  <si>
    <t>EpmID:105389| SCN - WH error during CH unlock | PG-6206 |</t>
  </si>
  <si>
    <t>BP-3900</t>
  </si>
  <si>
    <t>20:08:43</t>
  </si>
  <si>
    <t xml:space="preserve">EpmID:105494| SRC - Lot abort for SRC error | BP-3900 | </t>
  </si>
  <si>
    <t>16:22:00</t>
  </si>
  <si>
    <t>EpmID:105495| CO2 - DLBB Flow too low LAB-002D | LAB-002D |</t>
  </si>
  <si>
    <t>03:49:00</t>
  </si>
  <si>
    <t>EpmID:105494| SRC - Lot abort for SRC error | BP-3900 |</t>
  </si>
  <si>
    <t>P825866</t>
  </si>
  <si>
    <t>05:04:00</t>
  </si>
  <si>
    <t>EpmID:105505| SCN - Lot aborted | ZH-221D |</t>
  </si>
  <si>
    <t>LO-105B</t>
  </si>
  <si>
    <t>EpmID:105516| SCN - LO-105B Happy Stop | LO-105B |</t>
  </si>
  <si>
    <t>10:38:00</t>
  </si>
  <si>
    <t>EpmID:105507| SCN - Failed to load foup on BMWL | PG-6206 |</t>
  </si>
  <si>
    <t>DW-0004</t>
  </si>
  <si>
    <t>06:32:00</t>
  </si>
  <si>
    <t>EpmID:105498| SRC - Lot abort SRC not operational+Daily MX+Handover Checks | DW-0004 |</t>
  </si>
  <si>
    <t>01:44:00</t>
  </si>
  <si>
    <t>EpmID:105512| SCN - ZH-221D Error Recovery | ZH-221D |</t>
  </si>
  <si>
    <t>06:19:00</t>
  </si>
  <si>
    <t>EpmID:105646| SCN - IS-1363 Lot Abort | IS-1363 |</t>
  </si>
  <si>
    <t>TIS</t>
  </si>
  <si>
    <t>P817298</t>
  </si>
  <si>
    <t>02:24:00</t>
  </si>
  <si>
    <t>EpmID:105650| SCN - ZH-221D error (Lot Abort) | ZH-221D |</t>
  </si>
  <si>
    <t>16:29:00</t>
  </si>
  <si>
    <t>EpmID:106262| SCN - Lot Abort for Real Time Sensor Link communication error | DW-56C6 |</t>
  </si>
  <si>
    <t>DC</t>
  </si>
  <si>
    <t>21:22:00</t>
  </si>
  <si>
    <t>EpmID:106269| SRC -  laser failed for LAA-010B | LAA-010B |</t>
  </si>
  <si>
    <t>P732021</t>
  </si>
  <si>
    <t>LO-STOP</t>
  </si>
  <si>
    <t>22:31:00</t>
  </si>
  <si>
    <t>EpmID:106345| SCN - LOT failed to start |  |</t>
  </si>
  <si>
    <t>Lot_Stop</t>
  </si>
  <si>
    <t>18:22:00</t>
  </si>
  <si>
    <t>EpmID:106384| DL - Lot Abort - IS Intermittent DO Error | LAA-010B |</t>
  </si>
  <si>
    <t>TinRefill</t>
  </si>
  <si>
    <t>01:48:00</t>
  </si>
  <si>
    <t>EpmID:106382| SRC- HWO |  | Tin refill reload</t>
  </si>
  <si>
    <t>TiN Refill</t>
  </si>
  <si>
    <t>23:16:00</t>
  </si>
  <si>
    <t>EpmID:106509| SCN - Lot abort for ZF-4392 HSSL Timeout | ZF-4392 |</t>
  </si>
  <si>
    <t>P814232 is related and partial solved</t>
  </si>
  <si>
    <t>RU-0D31</t>
  </si>
  <si>
    <t>17:56:00</t>
  </si>
  <si>
    <t>EpmID:107162| SCN - RS Stamping |  | Scanner Repairs</t>
  </si>
  <si>
    <t>DefectD</t>
  </si>
  <si>
    <t>KN-0605</t>
  </si>
  <si>
    <t>00:45:00</t>
  </si>
  <si>
    <t>EpmID:107146| SCN - KGHDMIS task died |  |</t>
  </si>
  <si>
    <t>Metro</t>
  </si>
  <si>
    <t>P844961</t>
  </si>
  <si>
    <t>related to P840013?</t>
  </si>
  <si>
    <t>14:35:00</t>
  </si>
  <si>
    <t>EpmID:107163| SCN - RS Stamping |  | Scanner Repairs</t>
  </si>
  <si>
    <t>OO-000B</t>
  </si>
  <si>
    <t>EpmID:107207| SCN - WXRO lost connection lot abort | OO-000B |</t>
  </si>
  <si>
    <t>P850771</t>
  </si>
  <si>
    <t>WXRO task died unexpectedly</t>
  </si>
  <si>
    <t>23:34:00</t>
  </si>
  <si>
    <t>EpmID:107222| SRC - MX actions failed, IS DO intermittent error | LAA-010B |</t>
  </si>
  <si>
    <t>Released already at intel</t>
  </si>
  <si>
    <t>20:16:00</t>
  </si>
  <si>
    <t>EpmID:107223| SRC - Lot abort, IS DO intermittent error | LAA-010B |</t>
  </si>
  <si>
    <t>RH-98A3</t>
  </si>
  <si>
    <t>06:00:00</t>
  </si>
  <si>
    <t>EpmID:107515| SCN - Reticle stuck in LDLK |  |</t>
  </si>
  <si>
    <t>P851550</t>
  </si>
  <si>
    <t>RU-465E</t>
  </si>
  <si>
    <t>22:38:00</t>
  </si>
  <si>
    <t>EpmID:107821| SCN - LOAD LOCK ERROR |  |</t>
  </si>
  <si>
    <t>P852254</t>
  </si>
  <si>
    <t>OVR cross talk with LDLK / P838000</t>
  </si>
  <si>
    <t>ZF-370B</t>
  </si>
  <si>
    <t>18:12:00</t>
  </si>
  <si>
    <t>EpmID:107901| SCN - Lot Abort for MCD Communication issue | ZF-370B |</t>
  </si>
  <si>
    <t>10:27:00</t>
  </si>
  <si>
    <t>EpmID:107925| SCN - Lot Abort for HSSL error | ZH-221D |</t>
  </si>
  <si>
    <t>10:55:00</t>
  </si>
  <si>
    <t>EpmID:107924| SCN - Lot abort | ZF-370B |</t>
  </si>
  <si>
    <t>08:24:00</t>
  </si>
  <si>
    <t>EpmID:107902| SCN -  ZH-221D lot abort | ZH-221D |</t>
  </si>
  <si>
    <t>PG-7407</t>
  </si>
  <si>
    <t>12:48:00</t>
  </si>
  <si>
    <t xml:space="preserve">EpmID:108151| SCN - Unalbe to load reticle via oht | PG-7407 | </t>
  </si>
  <si>
    <t>P853301</t>
  </si>
  <si>
    <t>DW-5A01</t>
  </si>
  <si>
    <t>12:46:00</t>
  </si>
  <si>
    <t xml:space="preserve">EpmID:108143| SCN - lot abort on DW-5A01 | DW-5A01 | </t>
  </si>
  <si>
    <t>P792003</t>
  </si>
  <si>
    <t>MX-0000</t>
  </si>
  <si>
    <t>10:54:00</t>
  </si>
  <si>
    <t xml:space="preserve">EpmID:108347| SCN - Lot abort for mxex not init | MX-0000 | </t>
  </si>
  <si>
    <t>P853207</t>
  </si>
  <si>
    <t>17:52:00</t>
  </si>
  <si>
    <t xml:space="preserve">EpmID:108552| SCN - LDLK failed | RU-465E | </t>
  </si>
  <si>
    <t>15:44:00</t>
  </si>
  <si>
    <t xml:space="preserve">EpmID:108563| SCN - lot abort due to WH | WH-3106 | </t>
  </si>
  <si>
    <t>WH-1CDE</t>
  </si>
  <si>
    <t>CG-A34D</t>
  </si>
  <si>
    <t>07:33:00</t>
  </si>
  <si>
    <t xml:space="preserve">EpmID:108561| SCN - Lot abort for CG-A34D | CG-A34D | </t>
  </si>
  <si>
    <t>P838726</t>
  </si>
  <si>
    <t>PCBR-HPPX-S6B2 (bad batch)</t>
  </si>
  <si>
    <t>RH-C177</t>
  </si>
  <si>
    <t>17:15:00</t>
  </si>
  <si>
    <t>EpmID:108607| SCN - 2DBC Read Fail | RH-C177 | Barcode reader fail</t>
  </si>
  <si>
    <t>P823264</t>
  </si>
  <si>
    <t>RBI</t>
  </si>
  <si>
    <t>19:55:00</t>
  </si>
  <si>
    <t xml:space="preserve">EpmID:108695| SCN - Reticle Failed RBI | ND | </t>
  </si>
  <si>
    <t>20:41:00</t>
  </si>
  <si>
    <t>EpmID:108719| SCN - Lot Abort BFSR Issue | BP-3900 | NotSet</t>
  </si>
  <si>
    <t>P856575</t>
  </si>
  <si>
    <t>LAB-002B</t>
  </si>
  <si>
    <t>21:00:00</t>
  </si>
  <si>
    <t>EpmID:108699| SRC - Lot abort for PA1 Error | LAB-002B |</t>
  </si>
  <si>
    <t>slow purge valve replaced</t>
  </si>
  <si>
    <t>WE-0C04</t>
  </si>
  <si>
    <t>14:12:00</t>
  </si>
  <si>
    <t>EpmID:109360| SCN - lot abort | WE-0C04 | BGDS</t>
  </si>
  <si>
    <t>P656698</t>
  </si>
  <si>
    <t>01:42:00</t>
  </si>
  <si>
    <t>EpmID:109458| SCN - LOT aborted | ZH-221D | NotSet</t>
  </si>
  <si>
    <t>OE-2401</t>
  </si>
  <si>
    <t>19:40:00</t>
  </si>
  <si>
    <t>EpmID:108937| SCN - Lot Abort PX-B6FC | OE-2401 |</t>
  </si>
  <si>
    <t>FC-028</t>
  </si>
  <si>
    <t>P859023</t>
  </si>
  <si>
    <t>reassigned from P820514: 19-2-2025</t>
  </si>
  <si>
    <t>RU-1F2E</t>
  </si>
  <si>
    <t>16:00:00</t>
  </si>
  <si>
    <t>EpmID:110305| SCN - LDLK1 Failed to open ATM | RU-1F2E |</t>
  </si>
  <si>
    <t>P838000</t>
  </si>
  <si>
    <t>moved retilce to 2nd loadport and adjusted X-over setpoint</t>
  </si>
  <si>
    <t>01:47:00</t>
  </si>
  <si>
    <t>EpmID:110310| SCN - lot ops failed dw-56c6 (Lot Abort)| DW-56C6 |</t>
  </si>
  <si>
    <t>23:39:00</t>
  </si>
  <si>
    <t>EpmID:110234| SCN - lot abort zh-221D | ZH-221D |</t>
  </si>
  <si>
    <t>RM-3246</t>
  </si>
  <si>
    <t>EpmID:111036| SCN - Lot abort for VS / RCW error | RM-3246 |</t>
  </si>
  <si>
    <t>P861609</t>
  </si>
  <si>
    <t>04:01:00</t>
  </si>
  <si>
    <t>EpmID:110955| SCN - Lot abort ZF-4392 | ZF-4392 |</t>
  </si>
  <si>
    <t>13:48:00</t>
  </si>
  <si>
    <t>EpmID:110600| SCN - Lot Abort ZH-221D | ZH-221D |</t>
  </si>
  <si>
    <t>RU-1B22</t>
  </si>
  <si>
    <t>16:35:00</t>
  </si>
  <si>
    <t>EpmID:111214| SCN - lot abort on RU-1B22 | RU-1b22 |</t>
  </si>
  <si>
    <t>P860660</t>
  </si>
  <si>
    <t>06:46:00</t>
  </si>
  <si>
    <t>EpmID:111679| SCN - Lot Abort | DW-56C6 |</t>
  </si>
  <si>
    <t>EpmID:111037| SCN - Reticle handler task faliure RH-9DDE | RH-9DDE |</t>
  </si>
  <si>
    <t>IS-1367</t>
  </si>
  <si>
    <t>20:34:00</t>
  </si>
  <si>
    <t>EpmID:112410| SCN - Lot abort TIS scan failed | IS-1367 |</t>
  </si>
  <si>
    <t>P844973</t>
  </si>
  <si>
    <t>15:40:00</t>
  </si>
  <si>
    <t>EpmID:112401| SCN - lot abort RU-1B22 | RU-1B22 |</t>
  </si>
  <si>
    <t xml:space="preserve">Reticle </t>
  </si>
  <si>
    <t>RQ-F000</t>
  </si>
  <si>
    <t>03:53:00</t>
  </si>
  <si>
    <t>EpmID:112393| SCN - RS related lot abort | RQ-F000 | (03/09/2025  03:09:56.4002  RQ-F000 Error of state-machine RQRRNE.APP.RS')</t>
  </si>
  <si>
    <t>RS</t>
  </si>
  <si>
    <t>P866623</t>
  </si>
  <si>
    <t>11:03:00</t>
  </si>
  <si>
    <t>EpmID:113226| SCN - Reticle 2D Barcode not read | RH-C177 |</t>
  </si>
  <si>
    <t>TN-0054</t>
  </si>
  <si>
    <t>14:49:00</t>
  </si>
  <si>
    <t>EpmID:113259| SCN - WPPD for PWEDNE crash | TN-0054 |</t>
  </si>
  <si>
    <t>P835372</t>
  </si>
  <si>
    <t>CN-00AF</t>
  </si>
  <si>
    <t>04:08:00</t>
  </si>
  <si>
    <t>EpmID:112437| SCN - WHFF Failed | CN-00AF |</t>
  </si>
  <si>
    <t>P815894</t>
  </si>
  <si>
    <t>WH-252E</t>
  </si>
  <si>
    <t>03:19:00</t>
  </si>
  <si>
    <t>EpmID:113189| SCN - CU_DO_LOT_Aborted (Lot Abort) | WH-252E |</t>
  </si>
  <si>
    <t>P841602</t>
  </si>
  <si>
    <t>23:36:00</t>
  </si>
  <si>
    <t>EpmID:113196| SCN - lot abort CN-0001 - ULSM_syncApp | CN-0001 |</t>
  </si>
  <si>
    <t>ILLUM</t>
  </si>
  <si>
    <t>P867917</t>
  </si>
  <si>
    <t>10:49:00</t>
  </si>
  <si>
    <t>EpmID:112689| SCN - lot abort ZH-221D | ZH-221D |</t>
  </si>
  <si>
    <t>ILIAS</t>
  </si>
  <si>
    <t>22:01:00</t>
  </si>
  <si>
    <t>EpmID:112938| SCN - ZH-221D Lot Abort | ZH-221D |</t>
  </si>
  <si>
    <t>17:25:00</t>
  </si>
  <si>
    <t>EpmID:113245| SCN - Lot Abort ZH-221D | ZH-221D |</t>
  </si>
  <si>
    <t>19:32:54</t>
  </si>
  <si>
    <t>EpmID:113813| SCN - Lot Abort+POB/WPPD Recovery | RU-1B22 |</t>
  </si>
  <si>
    <t>EpmID:113811| SCN - Re-Run NERSTD | RU-1B22 |</t>
  </si>
  <si>
    <t>WX-2508</t>
  </si>
  <si>
    <t>EpmID:114082| SCN - Lot abort WX-2508 | WX-2508 |</t>
  </si>
  <si>
    <t>P834708</t>
  </si>
  <si>
    <t>PG-7406</t>
  </si>
  <si>
    <t>17:14:00</t>
  </si>
  <si>
    <t>EpmID:114164| SCN- Lot ops start failed RM MMDC | PG-7406 |</t>
  </si>
  <si>
    <t>P870861</t>
  </si>
  <si>
    <t>07:52:00</t>
  </si>
  <si>
    <t>EpmID:114178| SCN - Lot Abort for RM MMDC error | RM-3246 |</t>
  </si>
  <si>
    <t>PX-B6FC</t>
  </si>
  <si>
    <t>07:54:00</t>
  </si>
  <si>
    <t>EpmID:115016| SCN - Wafer movement stopped due to PX error and wafer rejects | PX-B6FC |</t>
  </si>
  <si>
    <t>POB</t>
  </si>
  <si>
    <t>P820514</t>
  </si>
  <si>
    <t>RU-2B1D</t>
  </si>
  <si>
    <t>11:18:00</t>
  </si>
  <si>
    <t>EpmID:115133| SCN - Lot Abort for RED MMDC | RU-2B1D | PG-6208</t>
  </si>
  <si>
    <t>P873253</t>
  </si>
  <si>
    <t xml:space="preserve">WXP-021 </t>
  </si>
  <si>
    <t>03:51:00</t>
  </si>
  <si>
    <t>EpmID:114415| SCN - Lot Abort | WXP-021 |  P871351</t>
  </si>
  <si>
    <t>SRC</t>
  </si>
  <si>
    <t>P871028</t>
  </si>
  <si>
    <t>18:18:00</t>
  </si>
  <si>
    <t>EpmID:116045| SCN - Lot Abort IS-1367 | IS-1367 |</t>
  </si>
  <si>
    <t>18:30:00</t>
  </si>
  <si>
    <t>EpmID:115718| SCN - Lot abort for RH error | RU-1B22 |</t>
  </si>
  <si>
    <t>21:37:00</t>
  </si>
  <si>
    <t>EpmID:116052| SCN - Lot Abort RU-1B22 | RU-1B22 |</t>
  </si>
  <si>
    <t>08:32:00</t>
  </si>
  <si>
    <t>EpmID:116054| SCN - Lot Abort RU-1B22 | RU-1B22 |</t>
  </si>
  <si>
    <t>21:59:00</t>
  </si>
  <si>
    <t>EpmID:115267| SCN - Lot abort for WS MMDC+Daily MX Actions+BMMO/ABF | WP-2C1D |</t>
  </si>
  <si>
    <t>P872290</t>
  </si>
  <si>
    <t>22:03:00</t>
  </si>
  <si>
    <t>EpmID:116029| SCN - Lot abort KN-0605 | KN-0605 |</t>
  </si>
  <si>
    <t>FC-064</t>
  </si>
  <si>
    <t>P860104</t>
  </si>
  <si>
    <t>07:34:00</t>
  </si>
  <si>
    <t>EpmID:116041| SCN - Lot abort KN-0605 | KN-0605 |</t>
  </si>
  <si>
    <t>11:59:00</t>
  </si>
  <si>
    <t>EpmID:116059| SCN - Wafer Load from VPU NOK+Lot abort VPA timeout+HYCO PM Block | CN-0001 |</t>
  </si>
  <si>
    <t>#ND#</t>
  </si>
  <si>
    <t>KU-5113</t>
  </si>
  <si>
    <t>16:23:00</t>
  </si>
  <si>
    <t>EpmID:115277| SCN - Lot abort for KU-5113 error | KU-5113 |</t>
  </si>
  <si>
    <t>P872439</t>
  </si>
  <si>
    <t>09:43:00</t>
  </si>
  <si>
    <t>EpmID:115283| SCN - Lot abort for KU-5113 error | KU-5113 |</t>
  </si>
  <si>
    <t>09:37:00</t>
  </si>
  <si>
    <t>EpmID:116068| SCN - lot aborted for KU-5113 error | KU-5113 |</t>
  </si>
  <si>
    <t>14:44:00</t>
  </si>
  <si>
    <t>EpmID:116175| SCN - Lot Abort for KN-0605 | kn-0605 |</t>
  </si>
  <si>
    <t>RR-1110</t>
  </si>
  <si>
    <t>09:56:00</t>
  </si>
  <si>
    <t>EpmID:116986| SCN - LOT abort RR-1110 | RR-1110 |</t>
  </si>
  <si>
    <t>RH-C1D0</t>
  </si>
  <si>
    <t>01:29:00</t>
  </si>
  <si>
    <t>EpmID:116880| SCN - CU_OT_RET_LOAD_ERR | ND |</t>
  </si>
  <si>
    <t>P869352</t>
  </si>
  <si>
    <t>LZ-2004</t>
  </si>
  <si>
    <t>14:38:00</t>
  </si>
  <si>
    <t>EpmID:117331| SCN - Lot Abort LZ-2004 | LZ-2004 |</t>
  </si>
  <si>
    <t>P877184</t>
  </si>
  <si>
    <t>06:45:00</t>
  </si>
  <si>
    <t>EpmID:117141| SCN - REMA BLADE FAILED RM-3183 | RU-1B22 |</t>
  </si>
  <si>
    <t>P862294</t>
  </si>
  <si>
    <t>20:18:00</t>
  </si>
  <si>
    <t>EpmID:117138| SCN -  Move customer reticle | RH-C177 | RH 2DBC</t>
  </si>
  <si>
    <t>WX-2B11</t>
  </si>
  <si>
    <t>21:43:00</t>
  </si>
  <si>
    <t>EpmID:118621| SCN - Lot abort | WX-2B11 |</t>
  </si>
  <si>
    <t>WP-2C1D MMDCWSPC1 MPAC PCW in temperature too high</t>
  </si>
  <si>
    <t>PCW  MPAC incoming too high Temp</t>
  </si>
  <si>
    <t>DD-0000</t>
  </si>
  <si>
    <t>18:29:00</t>
  </si>
  <si>
    <t>EpmID:118241| SCN - Lot Abort out of memory DD-0000 | DD-0000 |</t>
  </si>
  <si>
    <t>P856296</t>
  </si>
  <si>
    <t>00:50:00</t>
  </si>
  <si>
    <t>EpmID:117807| SCN - RU-1B22 Failed | RU-1B22 | ARR NOK</t>
  </si>
  <si>
    <t>08:31:00</t>
  </si>
  <si>
    <t>EpmID:118729| SCN - 2DBC unknown reticle ID | RH-C177 |</t>
  </si>
  <si>
    <t>17:00:00</t>
  </si>
  <si>
    <t>EpmID:118922| SCN - 2DBC unknown reticle ID | RH-C177 |</t>
  </si>
  <si>
    <t>PL-7005</t>
  </si>
  <si>
    <t>EpmID:119428| SCN - lot aborted by SRC error+HSD Lot Abort+Daily MX | PL-7005 |</t>
  </si>
  <si>
    <t>P885598</t>
  </si>
  <si>
    <t>AP-13624 f DQ module swap if issue persists (after 2 hit within 8hrs)</t>
  </si>
  <si>
    <t>RH-C1E0</t>
  </si>
  <si>
    <t>07:59:00</t>
  </si>
  <si>
    <t>EpmID:119408| SCN - FOXY Not able to scan in 2DBC | RH-C1E0 |</t>
  </si>
  <si>
    <t>CN-0067</t>
  </si>
  <si>
    <t xml:space="preserve">EpmID:120204| SCN - MLETs failed to start+POB Mighty Setup | CN-0067 | </t>
  </si>
  <si>
    <t>SW</t>
  </si>
  <si>
    <t>P884438</t>
  </si>
  <si>
    <t>LSH-00AC</t>
  </si>
  <si>
    <t xml:space="preserve">EpmID:120211| SRC - lot abort LSH-00AC | LSH-00AC | </t>
  </si>
  <si>
    <t>P885744</t>
  </si>
  <si>
    <t xml:space="preserve">EpmID:120748| SCN - lot abort on CN-0001 | CN-0001 | </t>
  </si>
  <si>
    <t>EpmID:120748| SCN - lot abort on CN-0001 | CN-0001 |</t>
  </si>
  <si>
    <t>According to the SO a weekly host reset is needed</t>
  </si>
  <si>
    <t>CG-A309</t>
  </si>
  <si>
    <t xml:space="preserve">EpmID:120751| SCN - Lot Abort CG-A309 | CG-A309 | </t>
  </si>
  <si>
    <t>P885590</t>
  </si>
  <si>
    <t>PG-4B47</t>
  </si>
  <si>
    <t xml:space="preserve">EpmID:120786| SCN - Lot abort Unicom Error for PG-4B47 | PG-4B47 | </t>
  </si>
  <si>
    <t xml:space="preserve">EpmID:120857| SCN - error unloading reticle from stage RU-1B22 | RU-1B22 | </t>
  </si>
  <si>
    <t>null</t>
  </si>
  <si>
    <t xml:space="preserve">EpmID:121092| SCN - lot abort on LAB-002D | LAB-002D | </t>
  </si>
  <si>
    <t>P829173</t>
  </si>
  <si>
    <t xml:space="preserve">EpmID:121089| SRC - Soft ramp interlock trip (Lot Abort) | ND | </t>
  </si>
  <si>
    <t>Drive Laser</t>
  </si>
  <si>
    <t xml:space="preserve">EpmID:121324| SCN - Lot Abort ZF-4392 | ZF-4392 | </t>
  </si>
  <si>
    <t>UL-90EA</t>
  </si>
  <si>
    <t xml:space="preserve">EpmID:121774| SCN - LOT ABORT UL-9101 | UL-90EA | </t>
  </si>
  <si>
    <t>F&amp;T and layout</t>
  </si>
  <si>
    <t>P863919</t>
  </si>
  <si>
    <t xml:space="preserve">EpmID:121771| SCN - Lot Abort for UL-90EA | UL-90EA | </t>
  </si>
  <si>
    <t xml:space="preserve">EpmID:121781| SCN - lot abort on UL-90EA | UL-90EA | </t>
  </si>
  <si>
    <t xml:space="preserve">EpmID:122055| SCN - lot abort recovery PX-B6FC | PX-B6FC | </t>
  </si>
  <si>
    <t>LBB-2004</t>
  </si>
  <si>
    <t>BTS N2 purge interlock tripped / Replace EP10</t>
  </si>
  <si>
    <t>P891530</t>
  </si>
  <si>
    <t>HIPA SLR/P/C VWH</t>
  </si>
  <si>
    <t>RH-C1C7</t>
  </si>
  <si>
    <t xml:space="preserve">EpmID:123440| SCN - Barcode read failed | RH-C1C7 | </t>
  </si>
  <si>
    <t xml:space="preserve">EpmID:123763| SCN - lot failed on RM-3246+REMA health check (Lot Abort) | RM-3246 | NotSet  </t>
  </si>
  <si>
    <t>P913030</t>
  </si>
  <si>
    <t>WX-803D</t>
  </si>
  <si>
    <t>BSLr-Overlay lot queue can not start</t>
  </si>
  <si>
    <t>RCA</t>
  </si>
  <si>
    <t>Callibration issue Post EQ</t>
  </si>
  <si>
    <t>EQ</t>
  </si>
  <si>
    <t>RU-14C5</t>
  </si>
  <si>
    <t>03:22:00</t>
  </si>
  <si>
    <t>EpmID:123923| SCN - Lot Abort RU-14C5+NJ-94D3 Laser HW Failure | RU-14C5 |</t>
  </si>
  <si>
    <t>SPM</t>
  </si>
  <si>
    <t>P889696</t>
  </si>
  <si>
    <t>RU-4629</t>
  </si>
  <si>
    <t>18:23:16</t>
  </si>
  <si>
    <t>RH LL PG Servo error</t>
  </si>
  <si>
    <t>P892467</t>
  </si>
  <si>
    <t>Active Sensor health needed (current containment reinit)</t>
  </si>
  <si>
    <t>MOI-0045</t>
  </si>
  <si>
    <t>09:08:00</t>
  </si>
  <si>
    <t>EpmID:124617| SRC - Lot Abort for SRC Laser Control | MOI-0045 |</t>
  </si>
  <si>
    <t>P897069</t>
  </si>
  <si>
    <t>06:53:08</t>
  </si>
  <si>
    <t>Failed TIS scan fit sanity acceptance check / Run WPPD &amp; NJCAWS re-init</t>
  </si>
  <si>
    <t>SF-4514</t>
  </si>
  <si>
    <t>EpmID:124640| SCN - Lot Abort for SF Error | SF-4514 |</t>
  </si>
  <si>
    <t>P855852</t>
  </si>
  <si>
    <t>08:19:10</t>
  </si>
  <si>
    <t>WH timeout</t>
  </si>
  <si>
    <t>WH</t>
  </si>
  <si>
    <t>SYSTEM ERROR: CN-0001 DEFAULT,[[S2:WH, T1:WH AV</t>
  </si>
  <si>
    <t>MLS&amp;IPT driver error</t>
  </si>
  <si>
    <t>After Overlay-MML readout at 18:00 ,MLS&amp;IPT driver get error whenunloading reticle.</t>
  </si>
  <si>
    <t>SM-6003</t>
  </si>
  <si>
    <t>00:50:24</t>
  </si>
  <si>
    <t>JNMW save failure / System restart</t>
  </si>
  <si>
    <t>NJCAWS task died so JNMW CPD save MCs failed,Try hp host reset--&gt;invalid</t>
  </si>
  <si>
    <t>CN-00C0</t>
  </si>
  <si>
    <t>15:12:00</t>
  </si>
  <si>
    <t>EpmID:124896| SCN - lot abort on CN-00C0 | CN-00C0 |</t>
  </si>
  <si>
    <t>CU_OT_Lot Abort for NJCAWS timeout</t>
  </si>
  <si>
    <t>PG-73EA</t>
  </si>
  <si>
    <t>19:00:00</t>
  </si>
  <si>
    <t>EpmID:125345| SCN - Lot abort IVR MMDC | PG-73EA |</t>
  </si>
  <si>
    <t>P691987</t>
  </si>
  <si>
    <t>EpmID:126082 | SCN - Lot Pause PX-B6FC</t>
  </si>
  <si>
    <t>LSA-0251</t>
  </si>
  <si>
    <t>EpmID:126094</t>
  </si>
  <si>
    <t>SU_OT_Lot_Abort_LSA-0251</t>
  </si>
  <si>
    <t>17:47:00</t>
  </si>
  <si>
    <t>BSL abnormal / fingerprint Overlay unstable</t>
  </si>
  <si>
    <t>P833115</t>
  </si>
  <si>
    <t>01:00:29</t>
  </si>
  <si>
    <t>BSL abnormal / fingerprint</t>
  </si>
  <si>
    <t>17:40:00</t>
  </si>
  <si>
    <t>EpmID:128536| SCN - Lot Abort RU-14C5 | RU-14C5 |</t>
  </si>
  <si>
    <t>P907669</t>
  </si>
  <si>
    <t>19:10:00</t>
  </si>
  <si>
    <t>EpmID:127039| SCN - Lot Abort for KN-0605 Error | KN-0605 |</t>
  </si>
  <si>
    <t>P756444</t>
  </si>
  <si>
    <t>LZ-321B</t>
  </si>
  <si>
    <t>14:20:00</t>
  </si>
  <si>
    <t>EpmID:127427| SCN - LZ-321B lot abort | LZ-321B |</t>
  </si>
  <si>
    <t>P904073</t>
  </si>
  <si>
    <t>RU-1B75</t>
  </si>
  <si>
    <t>03:50:00</t>
  </si>
  <si>
    <t>EpmID:128542| SCN - Lot Abort for RU-1B75 | RU-1B75 |</t>
  </si>
  <si>
    <t>P904929</t>
  </si>
  <si>
    <t>21:41:00</t>
  </si>
  <si>
    <t>EpmID:129332| SCN - Lot error | ZH-221D |</t>
  </si>
  <si>
    <t>RU-2B23</t>
  </si>
  <si>
    <t>06:37:41</t>
  </si>
  <si>
    <t>LDLK2 EIP Presence and Placed Badly Reflective Sensor</t>
  </si>
  <si>
    <t>08:00:28</t>
  </si>
  <si>
    <t>LDLK2 EIP Presence and Placed Badly Reflective Sensor/LDLK2 EIP PRS PLB AMP swap</t>
  </si>
  <si>
    <t>P892057</t>
  </si>
  <si>
    <t>RH-8550</t>
  </si>
  <si>
    <t>13:47:17</t>
  </si>
  <si>
    <t>2DBCR reading error</t>
  </si>
  <si>
    <t>P906475</t>
  </si>
  <si>
    <t>LAW-1001</t>
  </si>
  <si>
    <t>00:49:56</t>
  </si>
  <si>
    <t>PA1 pressure too high</t>
  </si>
  <si>
    <t>Slow purge valve stuck (core replaced)</t>
  </si>
  <si>
    <t>06:06:00</t>
  </si>
  <si>
    <t>EpmID:129119| SCN - Lot abort due to RU-14C5 | RU-14C5 |</t>
  </si>
  <si>
    <t>RU-1BA5</t>
  </si>
  <si>
    <t>14:17:44</t>
  </si>
  <si>
    <t>Prealignment not valid for current reticle</t>
  </si>
  <si>
    <t>P906799</t>
  </si>
  <si>
    <t>14:36:49</t>
  </si>
  <si>
    <t>Prealignment not valid for current reticle/one button re init</t>
  </si>
  <si>
    <t>WZ-0D04</t>
  </si>
  <si>
    <t>12:56:38</t>
  </si>
  <si>
    <t>ALR moving error/host reset WH</t>
  </si>
  <si>
    <t>UR-04AE</t>
  </si>
  <si>
    <t>03:34:03</t>
  </si>
  <si>
    <t>IPT hang up</t>
  </si>
  <si>
    <t>P907514</t>
  </si>
  <si>
    <t>23:56:15</t>
  </si>
  <si>
    <t>07:36:44</t>
  </si>
  <si>
    <t>IPT hang up/host reset</t>
  </si>
  <si>
    <t>21:58:00</t>
  </si>
  <si>
    <t>EpmID:130743| SCN - PG-6206 lot abort | PG-6206 |</t>
  </si>
  <si>
    <t>SLR postion error</t>
  </si>
  <si>
    <t>17:14:48</t>
  </si>
  <si>
    <t>DYPL failed/</t>
  </si>
  <si>
    <t>06:39:00</t>
  </si>
  <si>
    <t>EpmID:131885| SCN - lot abort ZF-4392 | ZF-4392 |</t>
  </si>
  <si>
    <t>09:19:00</t>
  </si>
  <si>
    <t>EpmID:131371| SCN - Lot abort ZH-221D | ZH-221D |</t>
  </si>
  <si>
    <t>EpmID:131958| SCN - Lot Abort | ZH-221D |</t>
  </si>
  <si>
    <t>18:50:00</t>
  </si>
  <si>
    <t>EpmID:131366| SCN - Lot Abort ZF-4392 | ZF-4392 |</t>
  </si>
  <si>
    <t>DW-5C01</t>
  </si>
  <si>
    <t>11:09:27</t>
  </si>
  <si>
    <t>lot abort by DW-5C01</t>
  </si>
  <si>
    <t>P915697</t>
  </si>
  <si>
    <t>18:49:28</t>
  </si>
  <si>
    <t>SM-2307</t>
  </si>
  <si>
    <t>14:56:00</t>
  </si>
  <si>
    <t>EpmID:131953| SCN - Lot abort lost heatbeat SM-2307 | SM-2307 |</t>
  </si>
  <si>
    <t>P809193</t>
  </si>
  <si>
    <t>DW-2405</t>
  </si>
  <si>
    <t>13:11:18</t>
  </si>
  <si>
    <t>mGT69 machine suffer DW-2405 (adjusting flow during pellicle test)</t>
  </si>
  <si>
    <t>03:43:00</t>
  </si>
  <si>
    <t>mGT69 DYPL test fail by WP-2C1D / system restart required</t>
  </si>
  <si>
    <t>15:24:00</t>
  </si>
  <si>
    <t>mGT69 Task LOUDQT died on OO-000B MTBI hit</t>
  </si>
  <si>
    <t>P823682</t>
  </si>
  <si>
    <t>KE-9504</t>
  </si>
  <si>
    <t>17:28:13</t>
  </si>
  <si>
    <t>mGT69 EMSIMI failed by KE-9504/P/C AL/IS/ILIAS (MMCR) and initial ok</t>
  </si>
  <si>
    <t>RM-3247</t>
  </si>
  <si>
    <t>16:21:00</t>
  </si>
  <si>
    <t>EpmID:132407| SCN - lot abort on RM-3247 | RM-3247 |</t>
  </si>
  <si>
    <t>P915252</t>
  </si>
  <si>
    <t>Check # of rows
 in Errorlogsheet</t>
  </si>
  <si>
    <t>NOW:</t>
  </si>
  <si>
    <t>Week now:</t>
  </si>
  <si>
    <t>Week dropoff</t>
  </si>
  <si>
    <t>this should be==uhits</t>
  </si>
  <si>
    <t>delta</t>
  </si>
  <si>
    <t>total weeks</t>
  </si>
  <si>
    <t>hits</t>
  </si>
  <si>
    <t>total_u</t>
  </si>
  <si>
    <t>total_p</t>
  </si>
  <si>
    <t>Error_Code</t>
  </si>
  <si>
    <t>p-counts_all</t>
  </si>
  <si>
    <t>n-hits_all</t>
  </si>
  <si>
    <t>new_hit</t>
  </si>
  <si>
    <t>last_hit</t>
  </si>
  <si>
    <t>u_hits_13</t>
  </si>
  <si>
    <t>p_hits_13</t>
  </si>
  <si>
    <t>sort_key</t>
  </si>
  <si>
    <t>Freq</t>
  </si>
  <si>
    <t>AGWH Remark</t>
  </si>
  <si>
    <t xml:space="preserve">Contained by COB with new FW swap, no hits since then. More containments via SP24. Monitoring </t>
  </si>
  <si>
    <t>RH</t>
  </si>
  <si>
    <t>patch on SP22, monitoring.</t>
  </si>
  <si>
    <t>METRO</t>
  </si>
  <si>
    <t>Solution in SP23 + patch on SP22</t>
  </si>
  <si>
    <t>Solution in SP22</t>
  </si>
  <si>
    <t>ILL</t>
  </si>
  <si>
    <t>MM1 flow lowered as containment, solution in progress</t>
  </si>
  <si>
    <t>LASER</t>
  </si>
  <si>
    <t>PCS available,
 solution SP23</t>
  </si>
  <si>
    <t>SW Laser</t>
  </si>
  <si>
    <t>MC53 FW issue, new FW tested OK. FCO released</t>
  </si>
  <si>
    <t>Solution SP23</t>
  </si>
  <si>
    <t>SD</t>
  </si>
  <si>
    <t>Observed twice entire EXE fleet, will collect logging to continue RCA if occurs again</t>
  </si>
  <si>
    <t>WS</t>
  </si>
  <si>
    <t>SPCP swap</t>
  </si>
  <si>
    <t>FDQ 4 channel
 module failure</t>
  </si>
  <si>
    <t xml:space="preserve">BGDS swap </t>
  </si>
  <si>
    <t>Solution SP22</t>
  </si>
  <si>
    <t>Containment in place, RCA ongoing</t>
  </si>
  <si>
    <t>Solution SP24</t>
  </si>
  <si>
    <t>REMA</t>
  </si>
  <si>
    <t>PCW Sensor swap</t>
  </si>
  <si>
    <t>HIPA swap</t>
  </si>
  <si>
    <t>UVLS</t>
  </si>
  <si>
    <t>One off</t>
  </si>
  <si>
    <t>Ethercat module swap</t>
  </si>
  <si>
    <t>phits_CR51</t>
  </si>
  <si>
    <t>phits_GY86</t>
  </si>
  <si>
    <t>Error</t>
  </si>
  <si>
    <t>WXP-021</t>
  </si>
  <si>
    <t>uhits_CR51</t>
  </si>
  <si>
    <t>uhits_GY86</t>
  </si>
  <si>
    <t>n</t>
  </si>
  <si>
    <t>toDate</t>
  </si>
  <si>
    <t>FromDate</t>
  </si>
  <si>
    <t>TotHits</t>
  </si>
  <si>
    <t>DW-0004,LAA-010B</t>
  </si>
  <si>
    <t>ZF-370B,ZH-221D</t>
  </si>
  <si>
    <t>ZF-4392,ZH-221D</t>
  </si>
  <si>
    <t>PG-7406,RM-3246</t>
  </si>
  <si>
    <t>RH-C177,RH-C1E0</t>
  </si>
  <si>
    <t>CG-A309,PG-4B47</t>
  </si>
  <si>
    <t>LAB-002D,</t>
  </si>
  <si>
    <t xml:space="preserve">Fleet (Intel MTBFp (4 wk) 25.9hrs  </t>
  </si>
  <si>
    <r>
      <t>Sum of  Exp/</t>
    </r>
    <r>
      <rPr>
        <b/>
        <sz val="11"/>
        <color rgb="FFFF0000"/>
        <rFont val="Calibri"/>
        <family val="2"/>
        <scheme val="minor"/>
      </rPr>
      <t>Reject</t>
    </r>
    <r>
      <rPr>
        <b/>
        <sz val="11"/>
        <color theme="1"/>
        <rFont val="Calibri"/>
        <family val="2"/>
        <scheme val="minor"/>
      </rPr>
      <t xml:space="preserve"> Wafers</t>
    </r>
  </si>
  <si>
    <t>Productive hrs</t>
  </si>
  <si>
    <t>Uptime hrs</t>
  </si>
  <si>
    <t>Sum of Hits p(u)</t>
  </si>
  <si>
    <t>Row Labels</t>
  </si>
  <si>
    <t>wk2501</t>
  </si>
  <si>
    <r>
      <t>1224 (</t>
    </r>
    <r>
      <rPr>
        <sz val="11"/>
        <color rgb="FFFF0000"/>
        <rFont val="Calibri"/>
        <family val="2"/>
        <scheme val="minor"/>
      </rPr>
      <t>6</t>
    </r>
    <r>
      <rPr>
        <sz val="11"/>
        <color theme="1"/>
        <rFont val="Calibri"/>
        <family val="2"/>
        <scheme val="minor"/>
      </rPr>
      <t>)</t>
    </r>
  </si>
  <si>
    <r>
      <t>939 (</t>
    </r>
    <r>
      <rPr>
        <sz val="11"/>
        <color rgb="FFFF0000"/>
        <rFont val="Calibri"/>
        <family val="2"/>
        <scheme val="minor"/>
      </rPr>
      <t>31</t>
    </r>
    <r>
      <rPr>
        <sz val="11"/>
        <color theme="1"/>
        <rFont val="Calibri"/>
        <family val="2"/>
        <scheme val="minor"/>
      </rPr>
      <t>)</t>
    </r>
  </si>
  <si>
    <t>3 (4)</t>
  </si>
  <si>
    <t>6 (10)</t>
  </si>
  <si>
    <t>wk2502</t>
  </si>
  <si>
    <r>
      <t>1647 (</t>
    </r>
    <r>
      <rPr>
        <sz val="11"/>
        <color rgb="FFFF0000"/>
        <rFont val="Calibri"/>
        <family val="2"/>
        <scheme val="minor"/>
      </rPr>
      <t>34</t>
    </r>
    <r>
      <rPr>
        <sz val="11"/>
        <color theme="1"/>
        <rFont val="Calibri"/>
        <family val="2"/>
        <scheme val="minor"/>
      </rPr>
      <t>)</t>
    </r>
  </si>
  <si>
    <r>
      <t>1555 (</t>
    </r>
    <r>
      <rPr>
        <sz val="11"/>
        <color rgb="FFFF0000"/>
        <rFont val="Calibri"/>
        <family val="2"/>
        <scheme val="minor"/>
      </rPr>
      <t>39</t>
    </r>
    <r>
      <rPr>
        <sz val="11"/>
        <color theme="1"/>
        <rFont val="Calibri"/>
        <family val="2"/>
        <scheme val="minor"/>
      </rPr>
      <t>)</t>
    </r>
  </si>
  <si>
    <t>0 (3)</t>
  </si>
  <si>
    <t>3 (6)</t>
  </si>
  <si>
    <t>wk2503</t>
  </si>
  <si>
    <t>1127 (0)</t>
  </si>
  <si>
    <t>1879 (10)</t>
  </si>
  <si>
    <t>0(1)</t>
  </si>
  <si>
    <t>wk2504</t>
  </si>
  <si>
    <t>1341(5)</t>
  </si>
  <si>
    <t>1785 (35)</t>
  </si>
  <si>
    <t>0(4)</t>
  </si>
  <si>
    <t>0(7)</t>
  </si>
  <si>
    <t>wk2505</t>
  </si>
  <si>
    <t>1022(17)</t>
  </si>
  <si>
    <t>1728(29)</t>
  </si>
  <si>
    <t>2(5)</t>
  </si>
  <si>
    <t>4(5)</t>
  </si>
  <si>
    <t>wk2506</t>
  </si>
  <si>
    <t>483 (7)</t>
  </si>
  <si>
    <t>1866 (22)</t>
  </si>
  <si>
    <t>1(1)</t>
  </si>
  <si>
    <t>2(2)</t>
  </si>
  <si>
    <t>wk2507</t>
  </si>
  <si>
    <t>2561(97)</t>
  </si>
  <si>
    <t>4066(20)</t>
  </si>
  <si>
    <t>wk2508</t>
  </si>
  <si>
    <t>4802(0)</t>
  </si>
  <si>
    <t>4433(0)</t>
  </si>
  <si>
    <t>0(0)</t>
  </si>
  <si>
    <t>3(4)</t>
  </si>
  <si>
    <t>wk2509</t>
  </si>
  <si>
    <t>1239(9)</t>
  </si>
  <si>
    <t>4205(9)</t>
  </si>
  <si>
    <t>wk2510</t>
  </si>
  <si>
    <t>618(18)</t>
  </si>
  <si>
    <t>5869(4)</t>
  </si>
  <si>
    <t>3(3)</t>
  </si>
  <si>
    <t>wk2511</t>
  </si>
  <si>
    <t>1757(16)</t>
  </si>
  <si>
    <t>3449(88)</t>
  </si>
  <si>
    <t>1(2)</t>
  </si>
  <si>
    <t>4(6)</t>
  </si>
  <si>
    <t>wk2512</t>
  </si>
  <si>
    <t>2729(13)</t>
  </si>
  <si>
    <t>1120(6)</t>
  </si>
  <si>
    <t>2(3)</t>
  </si>
  <si>
    <t>wk2513</t>
  </si>
  <si>
    <t>MTBFp</t>
  </si>
  <si>
    <t>66 (54)</t>
  </si>
  <si>
    <t>MTBFu</t>
  </si>
  <si>
    <t>38(39)</t>
  </si>
  <si>
    <t>(13 week)</t>
  </si>
  <si>
    <t>43 (33)</t>
  </si>
  <si>
    <t>32(25)</t>
  </si>
  <si>
    <t>p-hits
this week</t>
  </si>
  <si>
    <t>Air</t>
  </si>
  <si>
    <t>CR51_u</t>
  </si>
  <si>
    <t>GY86_u</t>
  </si>
  <si>
    <t>CR51_p</t>
  </si>
  <si>
    <t>GY86_u2</t>
  </si>
  <si>
    <t>SUM</t>
  </si>
  <si>
    <t>EventCode</t>
  </si>
  <si>
    <t>Remark</t>
  </si>
  <si>
    <t>Solution</t>
  </si>
  <si>
    <t>x</t>
  </si>
  <si>
    <t>ZF-4392;ZF-370B;ZH-221D</t>
  </si>
  <si>
    <t xml:space="preserve">NXE:3800E and EXE:5000 Destination Violation Error ZH-221D </t>
  </si>
  <si>
    <t>Partially solved by P814232 (delivered in SP22)</t>
  </si>
  <si>
    <t>SO 53035983</t>
  </si>
  <si>
    <t>RBI stamping and Clamping issues</t>
  </si>
  <si>
    <t>Incident, RBI was okay after stamping.</t>
  </si>
  <si>
    <t>SO 53044836</t>
  </si>
  <si>
    <t>WH/CARM</t>
  </si>
  <si>
    <t>WH-3106/ CG-A34D</t>
  </si>
  <si>
    <t xml:space="preserve">RCA Carm --&gt; WH requesting for logfiles NA </t>
  </si>
  <si>
    <t>PCBR-HPPX-S6B2 issue</t>
  </si>
  <si>
    <t xml:space="preserve"> [E100][EZ60] Remove 500ms check on auxiliary contactors during HV ON and HV OFF</t>
  </si>
  <si>
    <t>Contactor HW + SW robustness (25Q1)</t>
  </si>
  <si>
    <t>wk2514</t>
  </si>
  <si>
    <t>RU-465E dp/dt violation during venting</t>
  </si>
  <si>
    <t xml:space="preserve">OVR cross talk with LDLK </t>
  </si>
  <si>
    <t>5k on SP20, SP21</t>
  </si>
  <si>
    <t>P855504</t>
  </si>
  <si>
    <t>BGDS HW failure FCO | Missing step in the sequence (Procedure ers148.pre)</t>
  </si>
  <si>
    <t>|</t>
  </si>
  <si>
    <t>PX-B6FC/OE-2401</t>
  </si>
  <si>
    <t xml:space="preserve"> SCN - Lot Abort PX-B6FC | OE-2401 |</t>
  </si>
  <si>
    <t xml:space="preserve"> [GY86] PX-B6FC Laser amplifier error: HILA Response communication error detected.</t>
  </si>
  <si>
    <t>-</t>
  </si>
  <si>
    <t>SRC/FC71</t>
  </si>
  <si>
    <t>BFSR replaced</t>
  </si>
  <si>
    <t>EXE NOK w/ Dose Eval Enabled - Buffer Size != nr Samples</t>
  </si>
  <si>
    <t>RCA, PCS = 44061146 as a temporary containment</t>
  </si>
  <si>
    <t xml:space="preserve">EXE GY86 Intel - Lot abort due to  MX-000 and WDMA dying unexpectedly. </t>
  </si>
  <si>
    <t>SO 53046894</t>
  </si>
  <si>
    <t>Slow (LASER) Purge valve  swapped</t>
  </si>
  <si>
    <t xml:space="preserve"> [CR51][2DBCR][SP19C] - Reticle Inventory fails due to 2DBCR cannot read barcode</t>
  </si>
  <si>
    <t>Containment for KGHD_S to not require system stop/start</t>
  </si>
  <si>
    <t>SP21</t>
  </si>
  <si>
    <t xml:space="preserve">SM-6003 WXRO died unexpectedly due </t>
  </si>
  <si>
    <t>Reticle Handling] Reticle Transfer failed from LDLK to LDPT2 RH-98A3</t>
  </si>
  <si>
    <t>Design and POC on solution ongoing - Projected solution date</t>
  </si>
  <si>
    <t>WK2508</t>
  </si>
  <si>
    <t>RUPT IPT drifts in X after driver termination, need auto recovery on init</t>
  </si>
  <si>
    <t xml:space="preserve">IPT is known to lose its position at MLS upper entry, there is no auto recovery feature. </t>
  </si>
  <si>
    <t>SP22</t>
  </si>
  <si>
    <t>GY86_p</t>
  </si>
  <si>
    <t>sum</t>
  </si>
  <si>
    <t>event_code</t>
  </si>
  <si>
    <t>air_desc</t>
  </si>
  <si>
    <t>P853275 - NXE:3800E and EXE:5000 Destination Violation Error ZH-221D</t>
  </si>
  <si>
    <t>Lot abort due to  ULTHIF_DNTR driver memory leak (RCA needed)</t>
  </si>
  <si>
    <t>MMDC for X mutual crash protection can give false positive trips after MRE2OC calibration</t>
  </si>
  <si>
    <t>GY86: Lot abort caused by PCW Temp Sensor! (41R2 +41R1)</t>
  </si>
  <si>
    <t>CN-00AF;PG-7406</t>
  </si>
  <si>
    <t>[Proto2][SCN]  Full drivers init keeps failing on WHAS  DisEntangExt due to  PG-7406 SUB CODE: [[X1:0xFB7CE5A9</t>
  </si>
  <si>
    <t>[GY86] PX-B6FC Laser amplifier error: HILA Response communication error detected.</t>
  </si>
  <si>
    <t>Reticle Inventory fails due to 2DBCR cannot read barcode</t>
  </si>
  <si>
    <t>Tracking - Lot Aborted by WE-0406 WH SUR HIPA error</t>
  </si>
  <si>
    <t xml:space="preserve">PWEDNE task dying during PWEDNE CPD run </t>
  </si>
  <si>
    <t>mET18_SO52992004_Lot abort by WH-252E</t>
  </si>
  <si>
    <t xml:space="preserve"> [CR51] Lot abort unload fail RU-1B22 after ARR</t>
  </si>
  <si>
    <t>P853275 - NXE:3800E and EXE:5000 Destination Violation Error ZH-221D,P853275 - NXE:3800E and EXE:5000 Destination Violation Error ZH-221D,P853275 - NXE:3800E and EXE:5000 Destination Violation Error ZH-221D</t>
  </si>
  <si>
    <t>SP21 changed wafer reject behavior to a lot abort behavior KU-5113 ==&gt; RR-1110,SP21 changed wafer reject behavior to a lot abort behavior KU-5113 ==&gt; RR-1110,SP21 changed wafer reject behavior to a lot abort behavior KU-5113 ==&gt; RR-1110</t>
  </si>
  <si>
    <t>[exe5000] KN-0605 scan predictor error causing lot aborts: KXTRMI improvement,[exe5000] KN-0605 scan predictor error causing lot aborts: KXTRMI improvement</t>
  </si>
  <si>
    <t xml:space="preserve"> [CR51] Lot abort unload fail RU-1B22 after ARR, [CR51] Lot abort unload fail RU-1B22 after ARR, [CR51] Lot abort unload fail RU-1B22 after ARR, [CR51] Lot abort unload fail RU-1B22 after ARR</t>
  </si>
  <si>
    <t>no AIR</t>
  </si>
  <si>
    <t>[Proto2][SCN]  Full drivers init keeps failing on WHAS  DisEntangExt due to  PG-7406 SUB CODE: [[X1:0xFB7CE5A9,[Proto2][SCN]  Full drivers init keeps failing on WHAS  DisEntangExt due to  PG-7406 SUB CODE: [[X1:0xFB7CE5A9</t>
  </si>
  <si>
    <t xml:space="preserve"> [PBS18823] WS ZJM Delivery</t>
  </si>
  <si>
    <t>[EXE] [CR51] WP-2C1D HIPA internal 12V low error</t>
  </si>
  <si>
    <t>Chart title:</t>
  </si>
  <si>
    <t>Hit check</t>
  </si>
  <si>
    <t>RoW</t>
  </si>
  <si>
    <t>Pareto</t>
  </si>
  <si>
    <t>Hits</t>
  </si>
  <si>
    <t>4wks range</t>
  </si>
  <si>
    <t>Errorlogtable</t>
  </si>
  <si>
    <t>Timeframe</t>
  </si>
  <si>
    <t>WW</t>
  </si>
  <si>
    <t>Status</t>
  </si>
  <si>
    <t>Error code</t>
  </si>
  <si>
    <t>Owner</t>
  </si>
  <si>
    <t>Downtime open</t>
  </si>
  <si>
    <t>Downtime solved</t>
  </si>
  <si>
    <t>Downtime planned</t>
  </si>
  <si>
    <t>Remarks</t>
  </si>
  <si>
    <t>Main Customer</t>
  </si>
  <si>
    <t>Other Customer1</t>
  </si>
  <si>
    <t>Other Customer2</t>
  </si>
  <si>
    <t>Downtime2</t>
  </si>
  <si>
    <t>Last hit seen</t>
  </si>
  <si>
    <t>Where</t>
  </si>
  <si>
    <t>Phits last 4 wks</t>
  </si>
  <si>
    <t>Uhits last 4wks</t>
  </si>
  <si>
    <t>Phits last 4 wks - customer</t>
  </si>
  <si>
    <t>Uhits last 4wks - customer</t>
  </si>
  <si>
    <t>Slide</t>
  </si>
  <si>
    <t>HW/SW</t>
  </si>
  <si>
    <t>Amb worknotes</t>
  </si>
  <si>
    <t>Solved</t>
  </si>
  <si>
    <t>Solved in batch 7 with new Trumpf Safety SW. Monitoring</t>
  </si>
  <si>
    <t>HW</t>
  </si>
  <si>
    <t>Planned</t>
  </si>
  <si>
    <t>Solution is SUR swap. Currently planning 2504.1</t>
  </si>
  <si>
    <t>Solved in batch 5</t>
  </si>
  <si>
    <t>Open</t>
  </si>
  <si>
    <t>P843723</t>
  </si>
  <si>
    <t>Solution direction and planning ongoing</t>
  </si>
  <si>
    <t>P799885</t>
  </si>
  <si>
    <t>XLD Issue. Solution roadmap decision ongoing</t>
  </si>
  <si>
    <t>P827649</t>
  </si>
  <si>
    <t>Patch available</t>
  </si>
  <si>
    <t>P814182</t>
  </si>
  <si>
    <t>Solution currently tracking for SP40c</t>
  </si>
  <si>
    <t>P821654</t>
  </si>
  <si>
    <t>Solved in batch 6</t>
  </si>
  <si>
    <t>P829435</t>
  </si>
  <si>
    <t>Suspect is high voltage infra. Test plan under design and working on new HIPA design with suppliers</t>
  </si>
  <si>
    <t>P844211</t>
  </si>
  <si>
    <t>RCA investigation ongoing. Awaiting diagnostics patch</t>
  </si>
  <si>
    <t>P827642</t>
  </si>
  <si>
    <t>P815534</t>
  </si>
  <si>
    <t>Planned for Batch 9 wk08</t>
  </si>
  <si>
    <t>P814183</t>
  </si>
  <si>
    <t>RCA investigation ongoing</t>
  </si>
  <si>
    <t>P737803</t>
  </si>
  <si>
    <t>RCA understood. Solution planning ongoing</t>
  </si>
  <si>
    <t>P807774</t>
  </si>
  <si>
    <t>Solved in batch 7 wk2450</t>
  </si>
  <si>
    <t>P803536</t>
  </si>
  <si>
    <t>[HW] FCO rollout starting as of wk2503 Batch 8</t>
  </si>
  <si>
    <t>P844884</t>
  </si>
  <si>
    <t>Monitor until 2504.3. Issue blocked by empty stck traces</t>
  </si>
  <si>
    <t>P847975</t>
  </si>
  <si>
    <t>New issue. Intake ongoing</t>
  </si>
  <si>
    <t>P829275</t>
  </si>
  <si>
    <t>SW v04.04.00 installed on system. Monitoring issue</t>
  </si>
  <si>
    <t>P805784</t>
  </si>
  <si>
    <t>Rootcause known. Solution planning ongoing</t>
  </si>
  <si>
    <t>P834175</t>
  </si>
  <si>
    <t>P766867</t>
  </si>
  <si>
    <t>[HW] Siemens working on the new FDI/FDQ version, expecting FCO 25Q2</t>
  </si>
  <si>
    <t>P849766</t>
  </si>
  <si>
    <t>P810385</t>
  </si>
  <si>
    <t>Solution planned in 25Q2</t>
  </si>
  <si>
    <t>P836306</t>
  </si>
  <si>
    <t>[HW] Solved after high pressure line swap done wk49</t>
  </si>
  <si>
    <t>P839969</t>
  </si>
  <si>
    <t>P835540</t>
  </si>
  <si>
    <t>RCA investigation ongoing, monitoinr next hit for more info</t>
  </si>
  <si>
    <t>P840410</t>
  </si>
  <si>
    <t xml:space="preserve">Issue related to ASML scripts rolling out to Customer. Solution direction known. </t>
  </si>
  <si>
    <t>P832926</t>
  </si>
  <si>
    <t>Planned in batch 10 wk2510</t>
  </si>
  <si>
    <t>P836587</t>
  </si>
  <si>
    <t>P831095</t>
  </si>
  <si>
    <t>P835595</t>
  </si>
  <si>
    <t>Feedback given to SEC to discuss with TEL. Awaiting response</t>
  </si>
  <si>
    <t>P835721</t>
  </si>
  <si>
    <t>P844948</t>
  </si>
  <si>
    <t>[HW] Swap performed, RCA investigation ongoing</t>
  </si>
  <si>
    <t>P829162</t>
  </si>
  <si>
    <t>P833747</t>
  </si>
  <si>
    <t>PSU swapped and no issue seen since. Monitor and if all ok, remove from list</t>
  </si>
  <si>
    <t>P840643</t>
  </si>
  <si>
    <t xml:space="preserve">RCA investigation ongoing. Awaiting issue re-occurance with tracing </t>
  </si>
  <si>
    <t>P806968</t>
  </si>
  <si>
    <t>Solution in batch 9 wk08</t>
  </si>
  <si>
    <t>P839236</t>
  </si>
  <si>
    <t xml:space="preserve">RCA investigation ongoing. </t>
  </si>
  <si>
    <t>P770481</t>
  </si>
  <si>
    <t>Closed ok. FW threshold to be updated</t>
  </si>
  <si>
    <t>P842740</t>
  </si>
  <si>
    <t>P780338</t>
  </si>
  <si>
    <t>Available at QL and SP37 9k patch</t>
  </si>
  <si>
    <t>P849775</t>
  </si>
  <si>
    <t>P833009</t>
  </si>
  <si>
    <t>Monitoring issue with extra tracing for next hit</t>
  </si>
  <si>
    <t>P779017</t>
  </si>
  <si>
    <t>No data gathered, AIR aborted after monitoring phase</t>
  </si>
  <si>
    <t>P817595</t>
  </si>
  <si>
    <t>P820945</t>
  </si>
  <si>
    <t>P551328</t>
  </si>
  <si>
    <t>[HW] Solved after HW swap</t>
  </si>
  <si>
    <t>P836948</t>
  </si>
  <si>
    <t>Planned in Batch 8 wk2504</t>
  </si>
  <si>
    <t>P340721</t>
  </si>
  <si>
    <t>Planned in batch 11 wk2516</t>
  </si>
  <si>
    <t>P840649</t>
  </si>
  <si>
    <t>P849777</t>
  </si>
  <si>
    <t>P844827</t>
  </si>
  <si>
    <t>P830307</t>
  </si>
  <si>
    <t>[HW] Contained, planning ongoing for FCO</t>
  </si>
  <si>
    <t>P833511</t>
  </si>
  <si>
    <t>[HW] Swap performed, monitoring if hits will not reoccur</t>
  </si>
  <si>
    <t>P796308</t>
  </si>
  <si>
    <t>P825725</t>
  </si>
  <si>
    <t>P724863</t>
  </si>
  <si>
    <t>Solved in batch 7 wk2451</t>
  </si>
  <si>
    <t>P660163</t>
  </si>
  <si>
    <t>Planned in batch 8 wk2504</t>
  </si>
  <si>
    <t>P842734</t>
  </si>
  <si>
    <t>P761769</t>
  </si>
  <si>
    <t>Solution Direction 1: Vaccum Inventory Functionality. Solution Direction 2: Remove</t>
  </si>
  <si>
    <t>P847545</t>
  </si>
  <si>
    <t>P848258</t>
  </si>
  <si>
    <t>P831642</t>
  </si>
  <si>
    <t>Linked to XLD #11</t>
  </si>
  <si>
    <t>P724864</t>
  </si>
  <si>
    <t>P800469</t>
  </si>
  <si>
    <t>P828954</t>
  </si>
  <si>
    <t>Linked to XLD,. RCA ongoing and Diagnostics imporvements planned</t>
  </si>
  <si>
    <t>P767015</t>
  </si>
  <si>
    <t>P812023</t>
  </si>
  <si>
    <t>P830711</t>
  </si>
  <si>
    <t>RCA investigation ongoing. Monitoring  hit. If noneon 2504.3 remove from list</t>
  </si>
  <si>
    <t>P821228</t>
  </si>
  <si>
    <t xml:space="preserve">P844827 </t>
  </si>
  <si>
    <t>P809444</t>
  </si>
  <si>
    <t>Solved in batch 4b</t>
  </si>
  <si>
    <t>P759629</t>
  </si>
  <si>
    <t>Solved in SP37</t>
  </si>
  <si>
    <t>P816892</t>
  </si>
  <si>
    <t>Linked towards XLD #8</t>
  </si>
  <si>
    <t>P815607</t>
  </si>
  <si>
    <t>No occurrence in last 8wks and no root cause found. Closed after monitoring period</t>
  </si>
  <si>
    <t>P552360</t>
  </si>
  <si>
    <t>[HW] FCO rollout starting as of wk2513</t>
  </si>
  <si>
    <t>P722662</t>
  </si>
  <si>
    <t>Available at v3.2.8-RC4003-SPA141V2</t>
  </si>
  <si>
    <t>P815581</t>
  </si>
  <si>
    <t>P755481</t>
  </si>
  <si>
    <t>P822182</t>
  </si>
  <si>
    <t>P719706</t>
  </si>
  <si>
    <t>U Hits</t>
  </si>
  <si>
    <t>(All)</t>
  </si>
  <si>
    <t>P Hits</t>
  </si>
  <si>
    <t xml:space="preserve">                                                                    </t>
  </si>
  <si>
    <t>Count of System</t>
  </si>
  <si>
    <t>WE-0404</t>
  </si>
  <si>
    <t>Count of AIR FC</t>
  </si>
  <si>
    <t>Sum of Duration</t>
  </si>
  <si>
    <t>WH-3104</t>
  </si>
  <si>
    <t>RU-028F</t>
  </si>
  <si>
    <t>SN-150B</t>
  </si>
  <si>
    <t>Last 4 wks starting</t>
  </si>
  <si>
    <t>Week for plot</t>
  </si>
  <si>
    <t>Productive time [hrs]</t>
  </si>
  <si>
    <t>Uptime [hrs]</t>
  </si>
  <si>
    <t>MTBFp 1wma</t>
  </si>
  <si>
    <t>MTBFp 4wma</t>
  </si>
  <si>
    <t>MTBFp 13wma</t>
  </si>
  <si>
    <t>MTBFu 1wma</t>
  </si>
  <si>
    <t>MTBFu 4wma</t>
  </si>
  <si>
    <t>MTBFu 13wma</t>
  </si>
  <si>
    <t>EZ60</t>
  </si>
  <si>
    <t>MTBFp customer 1wma</t>
  </si>
  <si>
    <t>MTBFp customer 4wma</t>
  </si>
  <si>
    <t>MTBFp customer 13wma</t>
  </si>
  <si>
    <t>MTBFp RoW 1wma</t>
  </si>
  <si>
    <t>MTBFp RoW 4wma</t>
  </si>
  <si>
    <t>MTBFp RoW 13wma</t>
  </si>
  <si>
    <t>27.07 - 11.08</t>
  </si>
  <si>
    <t>Data Range (Wk)</t>
  </si>
  <si>
    <t>WK30-WK32</t>
  </si>
  <si>
    <t>Productive (h)</t>
  </si>
  <si>
    <t>Total Hits</t>
  </si>
  <si>
    <t>Overall MTBF Improvemnet</t>
  </si>
  <si>
    <t>CAD</t>
  </si>
  <si>
    <t>RH-988E</t>
  </si>
  <si>
    <t>WD-3A11</t>
  </si>
  <si>
    <t>WZ-060A</t>
  </si>
  <si>
    <t>TBD</t>
  </si>
  <si>
    <t>Under Investigation</t>
  </si>
  <si>
    <t>PL-7004</t>
  </si>
  <si>
    <t>SM-8100</t>
  </si>
  <si>
    <t>MI-FE15</t>
  </si>
  <si>
    <t>System Spec.</t>
  </si>
  <si>
    <t>Cluster</t>
  </si>
  <si>
    <t>Vary</t>
  </si>
  <si>
    <t>N/A</t>
  </si>
  <si>
    <t>P800748</t>
  </si>
  <si>
    <t>P804700</t>
  </si>
  <si>
    <t>P800689​</t>
  </si>
  <si>
    <t>P780804</t>
  </si>
  <si>
    <t>P747035​</t>
  </si>
  <si>
    <t>P798605</t>
  </si>
  <si>
    <t>P749810</t>
  </si>
  <si>
    <t>Carrier</t>
  </si>
  <si>
    <t>SP38</t>
  </si>
  <si>
    <t>900k on SP37</t>
  </si>
  <si>
    <t>SP39</t>
  </si>
  <si>
    <t>SP38c</t>
  </si>
  <si>
    <t>WK2434</t>
  </si>
  <si>
    <t>WK2437</t>
  </si>
  <si>
    <t>WK2440</t>
  </si>
  <si>
    <t>WK2442</t>
  </si>
  <si>
    <t>WK2444</t>
  </si>
  <si>
    <t>SEC</t>
  </si>
  <si>
    <t>Runhours/batch</t>
  </si>
  <si>
    <t>Hits/batch</t>
  </si>
  <si>
    <t>MTBF/batch</t>
  </si>
  <si>
    <t>Batch capability</t>
  </si>
  <si>
    <t>Batch</t>
  </si>
  <si>
    <t>Productive hours</t>
  </si>
  <si>
    <t>Notes</t>
  </si>
  <si>
    <t>Batch3</t>
  </si>
  <si>
    <t xml:space="preserve"> </t>
  </si>
  <si>
    <t>Batch4</t>
  </si>
  <si>
    <t>Batch4a</t>
  </si>
  <si>
    <t>Batch4b</t>
  </si>
  <si>
    <t>Batch 5</t>
  </si>
  <si>
    <t>Batch5a</t>
  </si>
  <si>
    <t>Batch5b</t>
  </si>
  <si>
    <t>Batch5c</t>
  </si>
  <si>
    <t>wk2441.4: batch 4b and SPA140v2.2 installed</t>
  </si>
  <si>
    <t>wk41.7 batch 4a+b install</t>
  </si>
  <si>
    <t>wk41.2 Batch4b install</t>
  </si>
  <si>
    <t>Batch 6</t>
  </si>
  <si>
    <t>Batch6a</t>
  </si>
  <si>
    <t>wk2443.4: batch 5a and SP37 installed</t>
  </si>
  <si>
    <t>Batch6b</t>
  </si>
  <si>
    <t>wk44.2 batch 5a+b install</t>
  </si>
  <si>
    <t>Batch6c</t>
  </si>
  <si>
    <t>wk2445.2: batch 5b installed</t>
  </si>
  <si>
    <t>Batch 7</t>
  </si>
  <si>
    <t>Batch7a</t>
  </si>
  <si>
    <t xml:space="preserve">wk2448.3: batch 5c + 6b and SP38 installed </t>
  </si>
  <si>
    <t>Wk48.4 batch 5+6b +SP38 install</t>
  </si>
  <si>
    <t>Batch7b</t>
  </si>
  <si>
    <t>Batch7c</t>
  </si>
  <si>
    <t>wk2450.3: batch 6c+7a installed</t>
  </si>
  <si>
    <t>wk50.3: Batch 6c installed</t>
  </si>
  <si>
    <t>wk51 weekend (?): Batch 7a installed</t>
  </si>
  <si>
    <t>wk02.4 batch 7b install</t>
  </si>
  <si>
    <t>last 4 wks overview</t>
  </si>
  <si>
    <t>fill in AIR</t>
  </si>
  <si>
    <t>Work variables</t>
  </si>
  <si>
    <t>AIR link</t>
  </si>
  <si>
    <t>Time Lost</t>
  </si>
  <si>
    <t># of hits total</t>
  </si>
  <si>
    <t># of P hits</t>
  </si>
  <si>
    <t># of P hits 4wks</t>
  </si>
  <si>
    <t># of U hits w4ks</t>
  </si>
  <si>
    <t>Last week seen</t>
  </si>
  <si>
    <t>Closed</t>
  </si>
  <si>
    <t>MTBFp y/n</t>
  </si>
  <si>
    <t>In last 4 wks</t>
  </si>
  <si>
    <t>Delivery</t>
  </si>
  <si>
    <t>year</t>
  </si>
  <si>
    <t>wk</t>
  </si>
  <si>
    <t>day</t>
  </si>
  <si>
    <t>Tclosed</t>
  </si>
  <si>
    <t>MTBF gain</t>
  </si>
  <si>
    <t>MTBF new</t>
  </si>
  <si>
    <t>y</t>
  </si>
  <si>
    <t>P808198</t>
  </si>
  <si>
    <t>4 - Open</t>
  </si>
  <si>
    <t>3 - Planned</t>
  </si>
  <si>
    <t>SCN - LZ Level Sensor Common Server Error</t>
  </si>
  <si>
    <r>
      <t xml:space="preserve">Testing of potential solution ongoing. Expecting release around wk2446 </t>
    </r>
    <r>
      <rPr>
        <sz val="10.5"/>
        <color theme="8"/>
        <rFont val="Arial"/>
        <family val="2"/>
      </rPr>
      <t>--&gt; test patch part of reliability test program in wk2445 --&gt; delayed due to pr23 issues (planned release in wk2448</t>
    </r>
    <r>
      <rPr>
        <sz val="10.5"/>
        <rFont val="Arial"/>
        <family val="2"/>
      </rPr>
      <t>)</t>
    </r>
  </si>
  <si>
    <t>2 - Contained</t>
  </si>
  <si>
    <r>
      <rPr>
        <sz val="10.5"/>
        <rFont val="Arial"/>
        <family val="2"/>
      </rPr>
      <t>Issue linked to sagged track seal door.</t>
    </r>
    <r>
      <rPr>
        <sz val="10.5"/>
        <color theme="8"/>
        <rFont val="Arial"/>
        <family val="2"/>
      </rPr>
      <t xml:space="preserve"> </t>
    </r>
    <r>
      <rPr>
        <sz val="10.5"/>
        <rFont val="Arial"/>
        <family val="2"/>
      </rPr>
      <t>Re-tightened the bolt, added washers and applied ty-wrap containment</t>
    </r>
  </si>
  <si>
    <t>1 - Solved</t>
  </si>
  <si>
    <t>SCN -  Failed to unload reticle to LDPT2</t>
  </si>
  <si>
    <t xml:space="preserve">Fix implemented but hit seen after SW fix from Batch 4b. Gudeng pod ordered to Wilton for testing </t>
  </si>
  <si>
    <t>wk2442</t>
  </si>
  <si>
    <t>P787765</t>
  </si>
  <si>
    <t>SCN - Invalid wafer ID (Lot Abort)</t>
  </si>
  <si>
    <t>Delivered as part of batch 3c (installed at intel wk2437.4)</t>
  </si>
  <si>
    <t>wk2439</t>
  </si>
  <si>
    <t>P819610</t>
  </si>
  <si>
    <t>SCN - WSL ESC_MB Voltage Tracking Error</t>
  </si>
  <si>
    <t>Solved via HIPA swap, downtime reductions follow-up via XLD</t>
  </si>
  <si>
    <t>wk2440</t>
  </si>
  <si>
    <t>P808249</t>
  </si>
  <si>
    <t>SCN - Carrier Handler fails to lock</t>
  </si>
  <si>
    <t>Solved with HW swap</t>
  </si>
  <si>
    <t>wk2436</t>
  </si>
  <si>
    <t>P815426</t>
  </si>
  <si>
    <t>SCN - Lot aborted during MLET - TIS Scan Failure</t>
  </si>
  <si>
    <t>Delivered as part batch 4a (installed at intel wk2439.6)</t>
  </si>
  <si>
    <t xml:space="preserve">Issue with communication in SPM internal components. Most likely related to HW issue (board in ISFR rack) </t>
  </si>
  <si>
    <t>P780319</t>
  </si>
  <si>
    <t>SCN - Lot abort</t>
  </si>
  <si>
    <r>
      <t>Dispatched WH D&amp;E team, RCA ongoing. Possibly corresponding with comparable hit seen on pr2</t>
    </r>
    <r>
      <rPr>
        <sz val="10.5"/>
        <rFont val="Arial"/>
        <family val="2"/>
      </rPr>
      <t>0 --&gt; Solution to delivered with batch 4b, installed in wk2441.4</t>
    </r>
  </si>
  <si>
    <r>
      <rPr>
        <sz val="10.5"/>
        <rFont val="Arial"/>
        <family val="2"/>
      </rPr>
      <t>HW AP done executed, issue found in connectivity of one the contactors. Propose to monitor issue until wk2446</t>
    </r>
    <r>
      <rPr>
        <sz val="10.5"/>
        <color theme="8"/>
        <rFont val="Arial"/>
        <family val="2"/>
      </rPr>
      <t xml:space="preserve"> --&gt; new hit seen in wk2445, project to update in MA task force call wk2446.5</t>
    </r>
  </si>
  <si>
    <t>CV-1F24</t>
  </si>
  <si>
    <t>P684387</t>
  </si>
  <si>
    <t>SCN- WH lot abort</t>
  </si>
  <si>
    <t>Delivered as part batch 2b (installed at Intel wk2435.5)</t>
  </si>
  <si>
    <t>SCN - Lot abort on MLET - WH host</t>
  </si>
  <si>
    <r>
      <t xml:space="preserve">Link towards WE error not clear. Lower prio for WH team. </t>
    </r>
    <r>
      <rPr>
        <sz val="10.5"/>
        <color theme="8"/>
        <rFont val="Arial"/>
        <family val="2"/>
      </rPr>
      <t>--&gt; Issue in MMDC handling solved as part of batch 2b (installed at Intel wk2435.5) which improves diagnosing the actual MMDC error (no new hits propose to abort and follow-up when new hit occures</t>
    </r>
  </si>
  <si>
    <t>wk2444</t>
  </si>
  <si>
    <r>
      <rPr>
        <sz val="10.5"/>
        <rFont val="Arial"/>
        <family val="2"/>
      </rPr>
      <t>Likely linked to hits seen on other systems (incl EXE). D&amp;E WH team to investigate</t>
    </r>
    <r>
      <rPr>
        <sz val="10.5"/>
        <color theme="8"/>
        <rFont val="Arial"/>
        <family val="2"/>
      </rPr>
      <t xml:space="preserve"> --&gt; background tracing enabled on internal systems to gather more data</t>
    </r>
  </si>
  <si>
    <r>
      <t xml:space="preserve">Dispatched to D&amp;E team, investigation shows linked to known issue </t>
    </r>
    <r>
      <rPr>
        <sz val="10.5"/>
        <rFont val="Arial"/>
        <family val="2"/>
      </rPr>
      <t xml:space="preserve">--&gt; Structural solution is new filtering strategy to be integrated in the new HIS </t>
    </r>
    <r>
      <rPr>
        <sz val="10.5"/>
        <color theme="8"/>
        <rFont val="Arial"/>
        <family val="2"/>
      </rPr>
      <t>--&gt; plan delayed till batch 7 --&gt; pull in options being discussed (feedback wk2447.5)</t>
    </r>
  </si>
  <si>
    <t>SCN - Unload wafer timeout</t>
  </si>
  <si>
    <t>Delivered as part batch 3c (installed at Intel wk2437.4)</t>
  </si>
  <si>
    <t>wk2438</t>
  </si>
  <si>
    <t>CO2 - Mx Actions IS Error - HPAC - Shutter</t>
  </si>
  <si>
    <t>Solution delivered as part of batch 4b (installed on wk2441.4). HW related issue will be followed-up via P825866 (also on the list)</t>
  </si>
  <si>
    <t>P812229</t>
  </si>
  <si>
    <t>SCM - False Pell Rup (Lot Abort)</t>
  </si>
  <si>
    <t>Issue contained at Intel (since no hits seen). Solution implemented in SP38 (proposal not to create customer patch)</t>
  </si>
  <si>
    <t>P790869</t>
  </si>
  <si>
    <t>SCN - Customer reports LDPT1 not accessable</t>
  </si>
  <si>
    <r>
      <t xml:space="preserve">Detailed investigation showed issue is solved as part of solution in batch 2a </t>
    </r>
    <r>
      <rPr>
        <sz val="10.5"/>
        <color rgb="FF000000"/>
        <rFont val="Wingdings"/>
        <charset val="2"/>
      </rPr>
      <t>à</t>
    </r>
    <r>
      <rPr>
        <sz val="10.5"/>
        <color rgb="FF000000"/>
        <rFont val="Arial"/>
        <family val="2"/>
      </rPr>
      <t xml:space="preserve"> installed at Intel wk2432.5</t>
    </r>
  </si>
  <si>
    <t>P800996</t>
  </si>
  <si>
    <t>SCN – PG-48B4 Lot Abort</t>
  </si>
  <si>
    <t>Delivered as part batch 3b (installed at Intel wk2436.5)</t>
  </si>
  <si>
    <r>
      <rPr>
        <sz val="10.5"/>
        <rFont val="Arial"/>
        <family val="2"/>
      </rPr>
      <t>Internal WXRO wafer map is reset during reboot after lot abort on non WH issues.</t>
    </r>
    <r>
      <rPr>
        <sz val="10.5"/>
        <color theme="8"/>
        <rFont val="Arial"/>
        <family val="2"/>
      </rPr>
      <t xml:space="preserve"> --&gt; on track for batch 6 wk2447 </t>
    </r>
  </si>
  <si>
    <t>SCN - Lot Abort Rejecting Wafers</t>
  </si>
  <si>
    <r>
      <t xml:space="preserve">False earthquake detection triggered, root cause pointing to MAPA module. --&gt; New hit in wk43. Data collected and analyzed. </t>
    </r>
    <r>
      <rPr>
        <sz val="10.5"/>
        <color theme="8"/>
        <rFont val="Arial"/>
        <family val="2"/>
      </rPr>
      <t>AVIS unintended behaviour during idle and to be solved in SP40, investigation on 9k patch delivery for SP38/SP39 ongoing. (feedback wk2447.5)</t>
    </r>
  </si>
  <si>
    <t>P817307</t>
  </si>
  <si>
    <t>SCN - RS MMDC PG-4990 PSG_wait_condition /  RQ-B006 MPAC LS XY MOT3</t>
  </si>
  <si>
    <r>
      <t xml:space="preserve">Investigation indicates possible new issue, DNDM traces not conclusive for rootcause of LS control error. Background trace activate on system want monitoring on reoccurance  (feedback wk2441.5) </t>
    </r>
    <r>
      <rPr>
        <sz val="10.5"/>
        <color theme="8"/>
        <rFont val="Arial"/>
        <family val="2"/>
      </rPr>
      <t>-&gt; No new hit seen to date proposal to close (reopen when new hit occurs)</t>
    </r>
  </si>
  <si>
    <t>wk2446</t>
  </si>
  <si>
    <r>
      <rPr>
        <sz val="10.5"/>
        <rFont val="Arial"/>
        <family val="2"/>
      </rPr>
      <t xml:space="preserve">Two persistant alarms on CH interlock (coinciding with locking/unlocking event). D&amp;E WH team investigating if this is designed behaviour and only wrong error handling </t>
    </r>
    <r>
      <rPr>
        <sz val="10.5"/>
        <color theme="8"/>
        <rFont val="Arial"/>
        <family val="2"/>
      </rPr>
      <t>--&gt; investigation still ongoing</t>
    </r>
  </si>
  <si>
    <t>P704909</t>
  </si>
  <si>
    <t>SCN - Mx NoK XCN-0001 (TFM task timeout)</t>
  </si>
  <si>
    <t>P814396</t>
  </si>
  <si>
    <t>SCN - WH-3106 Lot Abort</t>
  </si>
  <si>
    <r>
      <t xml:space="preserve">Error code observed during proto runs, investigation ongoing if this occurrence is linked to same root cause </t>
    </r>
    <r>
      <rPr>
        <sz val="10.5"/>
        <color theme="8"/>
        <rFont val="Arial"/>
        <family val="2"/>
      </rPr>
      <t>--&gt; confirmed to be linked to same root cause --&gt; WH solutions in SP37c improved part of SW responsible for the timeout; considered solved with new SW</t>
    </r>
  </si>
  <si>
    <t>wk2443</t>
  </si>
  <si>
    <t>WD-3A00</t>
  </si>
  <si>
    <t>SCN - WDFC mx action nok - MX action failure</t>
  </si>
  <si>
    <t>Solution internally tested, release of customer patch as part of batch 4b</t>
  </si>
  <si>
    <t>Solution available in SP37c</t>
  </si>
  <si>
    <t>Project issue intake ongoing, feedback wk2446.5</t>
  </si>
  <si>
    <t>P815661</t>
  </si>
  <si>
    <t>SCN - Twinscan Reboot Hiccup</t>
  </si>
  <si>
    <t>No new hits seen since 2431, issue aborted</t>
  </si>
  <si>
    <t>No new hits seen since 2434, issue aborted</t>
  </si>
  <si>
    <t>P815634</t>
  </si>
  <si>
    <r>
      <t xml:space="preserve">Collected data of </t>
    </r>
    <r>
      <rPr>
        <sz val="10.5"/>
        <rFont val="Arial"/>
        <family val="2"/>
      </rPr>
      <t>hit captured in VhV analyzed.</t>
    </r>
    <r>
      <rPr>
        <sz val="10.5"/>
        <color theme="8"/>
        <rFont val="Arial"/>
        <family val="2"/>
      </rPr>
      <t xml:space="preserve"> --&gt; SW fix delivered as internal patch delivered and being installed on VhV machine. Monitoring phase and delivery plan still being discussed. Feedback wk2446.5</t>
    </r>
  </si>
  <si>
    <t>LOT stuck on WX-802A for 2.5 hours</t>
  </si>
  <si>
    <r>
      <t xml:space="preserve">Track issue confirmed with VDL, monitor issue until wk2445 </t>
    </r>
    <r>
      <rPr>
        <sz val="10.5"/>
        <color theme="8"/>
        <rFont val="Arial"/>
        <family val="2"/>
      </rPr>
      <t>-&gt; No new hit seen to date proposal to close (reopen when new hit occurs)</t>
    </r>
  </si>
  <si>
    <t>SCN  - Error while idle WP-2C1D</t>
  </si>
  <si>
    <r>
      <t>RCA started. Discussion on new FW creation on going with supplier</t>
    </r>
    <r>
      <rPr>
        <sz val="10.5"/>
        <rFont val="Arial"/>
        <family val="2"/>
      </rPr>
      <t xml:space="preserve"> --&gt; Amount of hits already drastically reduced with previous SW release. </t>
    </r>
    <r>
      <rPr>
        <sz val="10.5"/>
        <color theme="8"/>
        <rFont val="Arial"/>
        <family val="2"/>
      </rPr>
      <t>--&gt; solution patch tested and unintended behaviour found --&gt; delayed untill batch 7</t>
    </r>
  </si>
  <si>
    <t>P801020</t>
  </si>
  <si>
    <t>SCN  - CN-0001 ISLA timeout</t>
  </si>
  <si>
    <t>No new hits worldwide --&gt; solution delivered to SP39</t>
  </si>
  <si>
    <t>WX-801F</t>
  </si>
  <si>
    <t>P800689</t>
  </si>
  <si>
    <t>SCN -  WH Lost wafer</t>
  </si>
  <si>
    <t>Issue solved with solution in batch 2a</t>
  </si>
  <si>
    <t>P720720</t>
  </si>
  <si>
    <t>SCN - RS Lot Abort</t>
  </si>
  <si>
    <t>P756116</t>
  </si>
  <si>
    <t xml:space="preserve">SCN - VWH Error | WE-0406 </t>
  </si>
  <si>
    <r>
      <t xml:space="preserve">Error code also observed during proto runs, investigation ongoing to see if this occurrence is linked to same root cause </t>
    </r>
    <r>
      <rPr>
        <sz val="10.5"/>
        <rFont val="Arial"/>
        <family val="2"/>
      </rPr>
      <t>--&gt; Investigation shows the driver WHAS initialization fails on ‘CH legacy application' init and is linked to hit seen on proto system</t>
    </r>
    <r>
      <rPr>
        <sz val="10.5"/>
        <color theme="8"/>
        <rFont val="Arial"/>
        <family val="2"/>
      </rPr>
      <t xml:space="preserve"> --&gt; solution delivered in batch 5 wk43 (installed with SP37 on wk2443.4)</t>
    </r>
  </si>
  <si>
    <r>
      <t xml:space="preserve">Dispatched to D&amp;E team, root cause investigation unsuccesfull because of missing data. Monitor on re-occurrence until wk2438.5 </t>
    </r>
    <r>
      <rPr>
        <sz val="10.5"/>
        <rFont val="Arial"/>
        <family val="2"/>
      </rPr>
      <t>--&gt; no reoccurance on any system (issue aborted)</t>
    </r>
  </si>
  <si>
    <t>Ctrl block group for "horizontal" moves not enabled (During NoMoLa)</t>
  </si>
  <si>
    <t>Release with last patch of batch5 (patch 903710)</t>
  </si>
  <si>
    <t>wk2445</t>
  </si>
  <si>
    <r>
      <rPr>
        <sz val="10.5"/>
        <rFont val="Arial"/>
        <family val="2"/>
      </rPr>
      <t>No new hits seen, rootcause investigation ongoing with low prio</t>
    </r>
    <r>
      <rPr>
        <sz val="10.5"/>
        <color theme="8"/>
        <rFont val="Arial"/>
        <family val="2"/>
      </rPr>
      <t xml:space="preserve"> --&gt; no update due to higher prio issues</t>
    </r>
  </si>
  <si>
    <t>P813136</t>
  </si>
  <si>
    <t>P766100</t>
  </si>
  <si>
    <t>SCN - Reticle not delivered to system - LDPT Failure</t>
  </si>
  <si>
    <t>Adjusted load port cover solved the issue</t>
  </si>
  <si>
    <t>SCN - MX Actions NOK</t>
  </si>
  <si>
    <t>Solution delivered as part of batch 3c. Installed at Intel wk2437.4</t>
  </si>
  <si>
    <t>Issue intake done, RCA ongoing</t>
  </si>
  <si>
    <t>hrs/wk</t>
  </si>
  <si>
    <t>Availability</t>
  </si>
  <si>
    <t>1wma</t>
  </si>
  <si>
    <t>4wma</t>
  </si>
  <si>
    <t>13wma</t>
  </si>
  <si>
    <t>Intel 1wma</t>
  </si>
  <si>
    <t>Intel 4wma</t>
  </si>
  <si>
    <t>Intel 13wma</t>
  </si>
  <si>
    <t>RoW 1wma</t>
  </si>
  <si>
    <t>RoW 4wma</t>
  </si>
  <si>
    <t>RoW 13wma</t>
  </si>
  <si>
    <t>Weekly effective time</t>
  </si>
  <si>
    <t>Weekly productive time</t>
  </si>
  <si>
    <t>Utilization</t>
  </si>
  <si>
    <t>tsmc</t>
  </si>
  <si>
    <t>AJ99</t>
  </si>
  <si>
    <t>ET18</t>
  </si>
  <si>
    <t>fleet utiltization 4wma</t>
  </si>
  <si>
    <t>wk2441</t>
  </si>
  <si>
    <t>wk2447</t>
  </si>
  <si>
    <t>wk2448</t>
  </si>
  <si>
    <t>wk2449</t>
  </si>
  <si>
    <t>wk2450</t>
  </si>
  <si>
    <t>RoW1</t>
  </si>
  <si>
    <t>RoW2</t>
  </si>
  <si>
    <t>#hits</t>
  </si>
  <si>
    <t>gain factor worst</t>
  </si>
  <si>
    <t>Run hours</t>
  </si>
  <si>
    <t>gain factor best</t>
  </si>
  <si>
    <t>worst case</t>
  </si>
  <si>
    <t>best case</t>
  </si>
  <si>
    <t>rooterror</t>
  </si>
  <si>
    <t>nr hits</t>
  </si>
  <si>
    <t>Reduced hits</t>
  </si>
  <si>
    <t>Subtotal</t>
  </si>
  <si>
    <t>white</t>
  </si>
  <si>
    <t>line</t>
  </si>
  <si>
    <t>Contained</t>
  </si>
  <si>
    <t>P817313</t>
  </si>
  <si>
    <t>To be planned</t>
  </si>
  <si>
    <t>Number</t>
  </si>
  <si>
    <t>Summary</t>
  </si>
  <si>
    <t>Type</t>
  </si>
  <si>
    <t>Project lead</t>
  </si>
  <si>
    <t>Coverage</t>
  </si>
  <si>
    <t>Coverage %</t>
  </si>
  <si>
    <t>Amb Follow up</t>
  </si>
  <si>
    <t>Priority</t>
  </si>
  <si>
    <t>P</t>
  </si>
  <si>
    <t>Co</t>
  </si>
  <si>
    <t>C</t>
  </si>
  <si>
    <t>S</t>
  </si>
  <si>
    <t>T</t>
  </si>
  <si>
    <t>Close notes</t>
  </si>
  <si>
    <t>Tags</t>
  </si>
  <si>
    <t>C status</t>
  </si>
  <si>
    <t>T status</t>
  </si>
  <si>
    <t>Amb Line</t>
  </si>
  <si>
    <t>Amb Work notes</t>
  </si>
  <si>
    <t>P781951</t>
  </si>
  <si>
    <t>[ETR2][KZ60]Lot abort on: DW-3801 - Timeout in wait scan ready, action_id = 20034726</t>
  </si>
  <si>
    <t>SILY</t>
  </si>
  <si>
    <t>Closed OK</t>
  </si>
  <si>
    <t>0.00</t>
  </si>
  <si>
    <t>0.56</t>
  </si>
  <si>
    <t>1 - Critical</t>
  </si>
  <si>
    <t>[Intake 2419]
wk27.2 Agreed for a SP36C 4k only (no delivery for SP35)
wk27.1 4k patch required on SP35C (for Pi5 test slot of 3 days)
wk26.2 1 out of 2 new potential containments tried unsuccessfully
wk23.1:Ownership transferred to DC.
Investigation stil</t>
  </si>
  <si>
    <t/>
  </si>
  <si>
    <t>NXE:3800 MTBF Worklist - Batch 1 [8hr MTBF] Frozen</t>
  </si>
  <si>
    <t>P780738</t>
  </si>
  <si>
    <t>[JM14] 2DG measure mark positions failed on PG-4925</t>
  </si>
  <si>
    <t>PC</t>
  </si>
  <si>
    <t>RILI</t>
  </si>
  <si>
    <t>0.48</t>
  </si>
  <si>
    <t xml:space="preserve">[intake 2419]
wk26.5 9k patch released for SP35
wk22.1: 4k patch to created today and tested on BTR4 tomorrow. 
wk21.5: Issue to be discussed at 12o clock today. Solution already known on Matlab environment, however there is still work to be done
wk21.3: </t>
  </si>
  <si>
    <t>P756596</t>
  </si>
  <si>
    <t>WH logistics replies unload too early, resulting in intermittent LOT failure</t>
  </si>
  <si>
    <t>THID</t>
  </si>
  <si>
    <t>0.72</t>
  </si>
  <si>
    <t xml:space="preserve">[intake 2411]
wk30.2: SOlution tested and 9k patch delivered 
wk23.2 On track. Expecting 9K request
wk21.2: Expect QBL delivery wk22.5
wk20.4 Increase coverage due to linked P774773
wk20.3 model update is available to be implemented by SW and can then be </t>
  </si>
  <si>
    <t>P781151</t>
  </si>
  <si>
    <t>LOt abort on WX-0404 - Move to SLR_WS1_DOCKED symbolic position failed.</t>
  </si>
  <si>
    <t>0.40</t>
  </si>
  <si>
    <t>2 - High</t>
  </si>
  <si>
    <t>[intake 2420]
Wk23.3: Sw plan to be made available inwk24
wk20.5 New issue seen on ETR, replan planned</t>
  </si>
  <si>
    <t>P748359</t>
  </si>
  <si>
    <t>Startup drivers failing on: PA_TSU_Z_MOV_UP_ABOV_SYMB_DRY_WHILE_WAFER_CLMPD_BY_ROT_AND_TSU_PRESS_VLV_CLSD_ERROR</t>
  </si>
  <si>
    <t>[intake 2405]
wk27.2: Delivered to QBL wk27.1
wk23.2 Expecting slip to next week. 
wk21.2: Solution likely to slip below week 22
wk20.3 Patch created for testing. Spec update agreed which has to be changed in SW. Delivery planned towards wk21/22
wk19.2: S</t>
  </si>
  <si>
    <t>P741887</t>
  </si>
  <si>
    <t>Structural solution Failing Wafcar Error in KNESMI shared memory - linked to P737040</t>
  </si>
  <si>
    <t>MA</t>
  </si>
  <si>
    <t>NBUZ</t>
  </si>
  <si>
    <t>0.18</t>
  </si>
  <si>
    <t>[intake 2414]
wk18.3 Solution planned towards SP36</t>
  </si>
  <si>
    <t>P774101</t>
  </si>
  <si>
    <t>Input and start prealign/ request fails for a wafer after resync if the wafer was requested but not inputted before prepare for recovery</t>
  </si>
  <si>
    <t>1.36</t>
  </si>
  <si>
    <t xml:space="preserve">[intake 2419]
wk30.2: 9k Solution delivered.
wk28.3 4k delivery expected wk28.5. QBL delivery 29.3 and 9k patch wk29.5
wk27.2: To be delivered end of wk28 if Model update is available as expected 
wk26.5: To be testing wk27.2, 
wk23.2 Delivery planned to </t>
  </si>
  <si>
    <t>P729523</t>
  </si>
  <si>
    <t>Router is not able to iterate more than 1x when (re)centering wafers on VPA, leading to errors and lot aborts</t>
  </si>
  <si>
    <t>[intake 2411]
wk49.2: Move out of batch7. Slip to 25Q1 
wk48.5: Likely to be be delayed and more details on wk49.2
wk47.5 Ontrack (potential delay to wk51)
wk46.5: SRGC to check on coverage for latest impact
wk19.2 Move coverage to leading AIR P655330. wk</t>
  </si>
  <si>
    <t>Active</t>
  </si>
  <si>
    <t>NXE:3800 MTBF Worklist - Batch 10 wk10 [54hr MTBF]</t>
  </si>
  <si>
    <t xml:space="preserve">2452.2 15:41:20 - Shravan Rajagopalan (Amb Work notes)
[intake 2411]
wk49.2: Move out of batch7. Slip to 25Q1 
wk48.5: Likely to be be delayed and more details on wk49.2
wk47.5 Ontrack (potential delay to wk51)
wk46.5: SRGC to check on coverage for latest impact
wk19.2 Move coverage to leading AIR P655330. wk12.1 Expected delivery to BL6.1
</t>
  </si>
  <si>
    <t>P831074</t>
  </si>
  <si>
    <t>Router is not able to iterate more than 1x when (re)centering wafers on LLbottom (atmospheric side), leading to errors and lot aborts</t>
  </si>
  <si>
    <t>[intake 2449]</t>
  </si>
  <si>
    <t xml:space="preserve">2452.2 15:41:29 - Shravan Rajagopalan (Amb Work notes)
[intake 2449]
</t>
  </si>
  <si>
    <t>P757377</t>
  </si>
  <si>
    <t>LL recentering is not implemented in AxR&lt;-&gt;LL top transfers</t>
  </si>
  <si>
    <t xml:space="preserve">2452.2 15:41:59 - Shravan Rajagopalan (Amb Work notes)
[intake 2449]
</t>
  </si>
  <si>
    <t>[PH8626] Wafer misalign on LDLK2 TOP during FWDDV2 after SP37 - Peripheral error WX-2811 due to WX-8025</t>
  </si>
  <si>
    <t>VLEC</t>
  </si>
  <si>
    <t>[intake 2445]
Wk51.3: Solution delivered via P757377 from WH</t>
  </si>
  <si>
    <t xml:space="preserve">2452.2 15:47:00 - Shravan Rajagopalan (Amb Work notes)
Wk46: RCA ongoing
wk48.3: Comeback in 9am
</t>
  </si>
  <si>
    <t>P809729</t>
  </si>
  <si>
    <t>Router is not able to iterate more than 1x when (re)centering wafers on LL (vacuum side), leading to errors and lot aborts</t>
  </si>
  <si>
    <t>[intake 2440]
wk49.2: Move out of batch7. Slip to 25Q1 
wk48.5: Likely to be be delayed and more details on wk49.2
wk47.5 Ontrack (potential delay to wk51)
wk43.5: Solution only for VAC side of LL. Another AIR to be created for ATM LL side</t>
  </si>
  <si>
    <t xml:space="preserve">2452.2 15:43:14 - Shravan Rajagopalan (Amb Work notes)
[intake 2440]
wk49.2: Move out of batch7. Slip to 25Q1 
wk48.5: Likely to be be delayed and more details on wk49.2
wk47.5 Ontrack (potential delay to wk51)
wk43.5: Solution only for VAC side of LL. Another AIR to be created for ATM LL side
</t>
  </si>
  <si>
    <t>P804075</t>
  </si>
  <si>
    <t>[VHV][JM14][Proto20] LOT failed on on PG-7406 [X1:0x3303ED3A; ]</t>
  </si>
  <si>
    <t>0.08</t>
  </si>
  <si>
    <t>[Intake 2430]</t>
  </si>
  <si>
    <t>NXE:3800 MTBF Worklist - Batch 2 [12hr MTBF] Frozen</t>
  </si>
  <si>
    <t>P732467</t>
  </si>
  <si>
    <t>[SP37] POB Alive not supported due to change of CPU on PCMR</t>
  </si>
  <si>
    <t>DY</t>
  </si>
  <si>
    <t>SAFR</t>
  </si>
  <si>
    <t>[intake 2423]
wk23.5 Containment to update MC's on all systems enabling heater keep alive</t>
  </si>
  <si>
    <t>P798707</t>
  </si>
  <si>
    <t xml:space="preserve">[BTR4] Lot failed on WH-3104 'Invalid Wafer ID provided" when executing No-LIGHT Reliab Tests </t>
  </si>
  <si>
    <t>Aborted</t>
  </si>
  <si>
    <t>[intake 2429]
wk30.2: Could be multiple RCs, needs more investigation</t>
  </si>
  <si>
    <t>P748920</t>
  </si>
  <si>
    <t>Solution for (0x0003) = Link transmission error (non-timeout)</t>
  </si>
  <si>
    <t>KW</t>
  </si>
  <si>
    <t>ESTO</t>
  </si>
  <si>
    <t>0.32</t>
  </si>
  <si>
    <t>[intake 2403]
wk21.3:Patch installed on BTR4, BTR5 and ETR2. Still investigation RC.
wk21.2 Increased coverage due to linked child
wk20.5 We do see new issues, PCS beeing created. 
wk20.2 Install ongoing on BTR5 - linked to P780813
wk19.1: Containment ava</t>
  </si>
  <si>
    <t>P665961</t>
  </si>
  <si>
    <t>WPPD drivers fails on CV-2016 - WS_S2LB indirect channel writing error</t>
  </si>
  <si>
    <t>SDOO</t>
  </si>
  <si>
    <t>[intake 2338][coverage 0.30%]
wk33.2: Sw not delivered to QBL yet, tests on BTR4 already done. 
wk31.2 4k patch installed on Pr20
wk30.2 On track to deliver 9k in wk32.5
wk25.2: Potential RC found. Solution to be in the next HSI. 
wk24.3: Issue to be solv</t>
  </si>
  <si>
    <t>P786059</t>
  </si>
  <si>
    <t>[Pr23][SCN]KEMIMA task died unexpectedly during Wafcar  UID 97149</t>
  </si>
  <si>
    <t>ME</t>
  </si>
  <si>
    <t>STAT</t>
  </si>
  <si>
    <t>0.24</t>
  </si>
  <si>
    <t>[intake 2421]
wk27.2 9k agreed for SP36C
wk24.6 Leading issue for multiple Metro issues seen. Solution planned to SP37
wk22.1 New issue seen last weekend</t>
  </si>
  <si>
    <t>After LOT abort on WX-180E, [NoMoLa] recovers system, but re-start of LOT keeps failing on WX-180E - Provided Lot ID (126) is already present in the queue</t>
  </si>
  <si>
    <t>0.80</t>
  </si>
  <si>
    <t>[intake 2419]
wk30.5: Expect to be available in wk32
wk27.2: Need to check if Sw soluiton is sufficient or a model update is needed
wk25.2: Investigation on-going. 
wk23.3 Pending resources for SW development
wk22,2: Move coverage of child AIR to this 
wk</t>
  </si>
  <si>
    <t>P782265</t>
  </si>
  <si>
    <t>[Pr23] [CG40] Lot failed on WX-802A</t>
  </si>
  <si>
    <t>0.16</t>
  </si>
  <si>
    <t>[Intake 2422]
wk30.5: Issue likely to have already been solved with the latest software. Come back on leading AIR 
wk27.2: Under investigation 
wk25.2: Solution expected in QBL in 3 week swk23.2 Implementation was missed.. Awaiting enigineer.. Plan expec</t>
  </si>
  <si>
    <t>P752478</t>
  </si>
  <si>
    <t>Resync/re-prealign call fails when there are more than 2 input wafers in the atmospheric side</t>
  </si>
  <si>
    <t>[intake 2412]
wk19.1 Pre-requisit to enable NoMoLa with track
wk12.5 Intake on Monday</t>
  </si>
  <si>
    <t>[CR51/EZ60] WH error during LOT start, as wafer is moved in from the track - WX-801F</t>
  </si>
  <si>
    <t>[intake 2429]
wk30.5: Issue contained with SP36C. Still need data from Pi2</t>
  </si>
  <si>
    <t>P756956</t>
  </si>
  <si>
    <t xml:space="preserve"> After an ETPT/MLET failure, a new LOT fails with WH-0019</t>
  </si>
  <si>
    <t>[intake 2417]
wk30.5: Solution still on track 
wk27.2: Need to check if Sw soluiton is sufficient or a model update is needed
wk25.2: Awaiting planning from Sw team, 
wk21.2:Issue reproduceable on test bench, being discussed with router team on way forwar</t>
  </si>
  <si>
    <t>P786106</t>
  </si>
  <si>
    <t>Proto23 // mCG40 // WAFCAR UID97149 : Unable to clear material after recovery LOT failure</t>
  </si>
  <si>
    <t>[Intake 2422]</t>
  </si>
  <si>
    <t>P699421</t>
  </si>
  <si>
    <t>[SICSCN-4572] CO2-TR2: 90% of init HPAC fails on camera connection</t>
  </si>
  <si>
    <t>CS</t>
  </si>
  <si>
    <t>BCOF</t>
  </si>
  <si>
    <t>0.90</t>
  </si>
  <si>
    <t>[intake 2409]
wk36.4 Not planned for SPA140, only option is to install SPA141. 
wk35.3: Solution in SPA 140v2 in wk35.5
wk34.3:  Comeback on solution for SPA141 wk28.4 Tested OK on STR system
wk27.5 Patch released. 9k plan requested
wk13.4 Delay in SW tea</t>
  </si>
  <si>
    <t>P765787</t>
  </si>
  <si>
    <t>LOT recovery triggers WS MMDC (C2CP_EOS_XY_ERROR)</t>
  </si>
  <si>
    <t>[intake 2418]
wk31.2 4k patch installed on Pr20
wk30.2 QBL delivery ongoing. Next week 9 or 5k patch for customer
wk25.2: Patch to be tested next week and QBL delivery next week 
wk24.4 Increased coverage by linked child
wk24.2:Solution expected by end of</t>
  </si>
  <si>
    <t>P788686</t>
  </si>
  <si>
    <t>LUFMSO NOK on ZS-1722 due to wrong bin allocation in DC FW (SP37)</t>
  </si>
  <si>
    <t>REMG</t>
  </si>
  <si>
    <t>[intake 2422]
wk27.1 SW development ongoing. 9k expected</t>
  </si>
  <si>
    <t>P750812</t>
  </si>
  <si>
    <t>[RC3613] Unable to initialize Energy Control Driver - XER-0100 LC DOMOIFTask Crash</t>
  </si>
  <si>
    <t>RMVW</t>
  </si>
  <si>
    <t>0.78</t>
  </si>
  <si>
    <t>[intake 2415]
wk24.5: Coverage moved from Child to (this) leading AIR
wk17.2 System specific issue for Pr20 - HW related. Waiting on board swap to verify</t>
  </si>
  <si>
    <t>P809529</t>
  </si>
  <si>
    <t>Decision ALR not mapped when clearing the wafers from the WH</t>
  </si>
  <si>
    <t>[Intake 2420]
wk33.2: Tentative for batch4 for complete solution. Partial delivery still a posibility 
wk30.5: Unlikely to be made available by wk32 due to prio on Carrier handler issue
wk27.2: Under investigation 
wk25.2: Expected Solution in 3 weeks in</t>
  </si>
  <si>
    <t>P796450</t>
  </si>
  <si>
    <t>|EXE|VHV|mEX04-Proto#2| Startup drivers fails for WPPD on WP-2C1D / CF0E02 --&gt; WS MMDC error: Unresolved Error</t>
  </si>
  <si>
    <t>[intake 2430]
wk32.2 Potentially already solved in Batch-2 (same release as P765787)</t>
  </si>
  <si>
    <t>P793660</t>
  </si>
  <si>
    <t>PLXAtimestamp_toseconds throws exception due to invalid time in usec</t>
  </si>
  <si>
    <t>MP</t>
  </si>
  <si>
    <t>VWAP</t>
  </si>
  <si>
    <t>[intake 2426]
wk27.2 Manually added as this is one potential root cause of MTBF hits seen (linked to o P735562)</t>
  </si>
  <si>
    <t>P752484</t>
  </si>
  <si>
    <t>Resync/re-prealign fails when output path is blocked [Track related]</t>
  </si>
  <si>
    <t>[intake 2419]
wk19.1 Pre-requisit to enable NoMoLa with track</t>
  </si>
  <si>
    <t>P796613</t>
  </si>
  <si>
    <t>[BTR4][CG40] BL6.1 WAFCAR: WAFCAR fails on WH PG-7406 - ALR_MOVING_WITH_WAFER_WHILE_WAFER_NOT_CLAMPED_ERROR</t>
  </si>
  <si>
    <t>[intake 2427]</t>
  </si>
  <si>
    <t>[XBOX][3800] RUBI initialization fails on connectivity CG-A349</t>
  </si>
  <si>
    <t>0.33</t>
  </si>
  <si>
    <t>wk30.1 Testtime on DevBench blocking
wk26.4: After WH hits, wrong PCS is triggered. Process of using FindIt in factory is not the correct WoW
wk25.3: Collecting traces, no hits in recent past. Monitor for hits</t>
  </si>
  <si>
    <t>P692635</t>
  </si>
  <si>
    <t>Wafer flow timeout</t>
  </si>
  <si>
    <t>[intake 2423]
wk30.5: On track as planned</t>
  </si>
  <si>
    <t>P811364</t>
  </si>
  <si>
    <t>Lot failed on WH-3104 'Invalid Wafer ID provided" when executing customer lots via Track due to DM corruption</t>
  </si>
  <si>
    <t>WH MPAC MMDC error triggers just after any WH MMDC error causing difficulty in diagnosing the actual root cause.</t>
  </si>
  <si>
    <t>[intake 2347]
wk18.1 Issues found with solution - delay
wk10.2 - FW expected wk14, then integration and testing still needed - QBL plan expected wk17. Requested pull-in to meet plt2 SAT date
wk09.3 - expected to take 40hrs of effort - plan expected 9.4
wk</t>
  </si>
  <si>
    <t>P780345</t>
  </si>
  <si>
    <t>After LOT abort on WX-180E, [NoMoLa] recovers system 2nd time but start LOT fails on: CN-0001 - [[S2:WXRO; T1:WXRO; ]] Timeout occurred.</t>
  </si>
  <si>
    <t>[intake 2419]
wk33.3: Expect coverage to go down with solution from P780338 [Batch 2  Delivered]
wk30.2: Issue could be connected to P774101. Monitor to see if issue is solved with solution via AIR mentioned above.
wk19.2 New issue intake</t>
  </si>
  <si>
    <t>NXE:3800 MTBF Worklist - Batch 3a [20hr MTBF] Frozen</t>
  </si>
  <si>
    <t>P737491</t>
  </si>
  <si>
    <t>After upgrade to SP15v2 TE crashes when changing constant</t>
  </si>
  <si>
    <t>HAWH</t>
  </si>
  <si>
    <t>3 - Medium</t>
  </si>
  <si>
    <t xml:space="preserve">[intake 2348]
wk19.1 Work planned for 24Q3..
wk18.3 Requested updated from Georgi on status
wk09.1 - status update requested at owner
Wk08.3 - transferred to other SICS team
wk06.3 | wk07.3 - containment in place. Investigation ongoing.
wk03.3 | wk05.3 - </t>
  </si>
  <si>
    <t>P756998</t>
  </si>
  <si>
    <t>Init fails on WP-2C1D: [DCDC] (0x0090) = EXTERNAL ERROR: Input voltage too low</t>
  </si>
  <si>
    <t>0.30</t>
  </si>
  <si>
    <t>[intake 2409][status g]
wk24. Should be solved in HSI 004_02_03. MOnitoring
wk22.1: Issue not solved in current HSI. To be released in next HSI. 
wk20.2: Monitor for issues on BTR5, if it does not appear in a week, then consider issues solved
wk2417.4: HS</t>
  </si>
  <si>
    <t>P736425</t>
  </si>
  <si>
    <t>|Proto1||mGT69||VHV| MLET fails with SN-150B once StageAlignment &amp; LS scan starts</t>
  </si>
  <si>
    <t>P804596</t>
  </si>
  <si>
    <t>[PR23][SCN] Lot abort on WP-6329</t>
  </si>
  <si>
    <t>[Intake 2430]
wk33.2: Known issue solved via leading AIR, Leon to update AIR Admin</t>
  </si>
  <si>
    <t>P781642</t>
  </si>
  <si>
    <t>[KH72] [PI6] XWWA fails to remove closing wafers from TOP1 and TOP2 in Wafer admin WH-D1E1</t>
  </si>
  <si>
    <t>[Intake 2424]</t>
  </si>
  <si>
    <t>P753315</t>
  </si>
  <si>
    <t xml:space="preserve">[LOT Abort] TMCC causes heater resistance NOK VEX-0004 </t>
  </si>
  <si>
    <t>TI</t>
  </si>
  <si>
    <t>ADNK</t>
  </si>
  <si>
    <t>NXE:3800 MTBF Worklist - Batch 3b [20hr MTBF] Frozen</t>
  </si>
  <si>
    <t>P805978</t>
  </si>
  <si>
    <t>WT Mx Charge Removal NOK</t>
  </si>
  <si>
    <t>WC</t>
  </si>
  <si>
    <t>RLCU</t>
  </si>
  <si>
    <t>P737462</t>
  </si>
  <si>
    <t>[Proto20] Metro CPD Lot-Based System Reference Calibration, fails on WX-8029 Input wafer timed out</t>
  </si>
  <si>
    <t>[intake 2348]
wk30.2: Issue connected to double unload, need to have VDL team pick it up wit higher prio. 
2423.2: Solution pushed to end of wk 2424
2414.3SRGC: Solution to be slipped further 4 weeks to wk2422
wk12.3 Delayed with 2 wks (to wk16)
wk11.2 On</t>
  </si>
  <si>
    <t>[PR23][SCN] Lot abort on: PG-48B4</t>
  </si>
  <si>
    <t>[intake 2429]
wk34.4: Deliver to QBL and 9k together
wk33.5: Solution known and to be belivered in wk34
wk33.2: To be transferred to Metro, pending alignment
wk30.2 No data --&gt; Monitoring</t>
  </si>
  <si>
    <t>[3800 E100][ PSG LDC] Stale images deteced in TFM afterPP/MP subroutine (missing xTEC logic bit)</t>
  </si>
  <si>
    <t>JBDX</t>
  </si>
  <si>
    <t>[intake 2432]</t>
  </si>
  <si>
    <t>P786427</t>
  </si>
  <si>
    <t>|Proto23-mCG40-SCN| -- WH cannot unload wafer to Carrier Handler</t>
  </si>
  <si>
    <t>1.04</t>
  </si>
  <si>
    <t>[Intake 2422]
wk33.2: Comeback in a week to confirm QBL delivery for abtch 3
wk30.5: Problem identified with chuck identification, at risk of still delivering in wk32 due to regression impact 
wk27.2: Under investigation 
wk26.5: Issue broken into 3 types</t>
  </si>
  <si>
    <t>NXE:3800 MTBF Worklist - Batch 3c [20hr MTBF] Frozen</t>
  </si>
  <si>
    <t>[Pr20]: Wafcar fails with WX-802A (chuck dedication)</t>
  </si>
  <si>
    <t>[intake 2428]
wk33.2: Issue linked to the one seen at Intel. RC likely known.  Comeback on Friday,
wk30.2: Could be multiple RCs, needs more investigation</t>
  </si>
  <si>
    <t>P812187</t>
  </si>
  <si>
    <t>[PR23][SCN] lot fails on 'WX-802A  Wafer Unload External Timeout</t>
  </si>
  <si>
    <t>[nitake 2435]
wk39.2: Help needed with planning test. Occurs when running Metro CPD. Test needs to be done on Pr23. 
wk38.3: Linked to Chuck dedication/LO issue. Investigation ongoing still</t>
  </si>
  <si>
    <t>Wafer admin not behaving as expected; Wafer on TOP1/TOP2 lost after system restart (WZ-060A)</t>
  </si>
  <si>
    <t>[intake 2428]
wk33.2: Likely to be available for QBL 35
wk30.2: Issues tested on BTR4 last week. test results seem okay</t>
  </si>
  <si>
    <t>P791266</t>
  </si>
  <si>
    <t>[BTR4][HW28][3800]-SM-6003 task VEFMMA has died unexpectedly</t>
  </si>
  <si>
    <t>[intake 2429]
Update wk36: QBL delivery on track for wk36.4. 9k via sync team wk37.3 
Deliver 400k for testing over the weekend on SP36
Update wk35: QBL delivery planned wk36.4. 9k on SP36c wk36.5
wk34.4: Need QBL and 9k patch together in SP36c</t>
  </si>
  <si>
    <t>P787182</t>
  </si>
  <si>
    <t xml:space="preserve">[JM14] Lot abort - PG-4920 </t>
  </si>
  <si>
    <t>0.02</t>
  </si>
  <si>
    <t>[Intake 2423]
wk25.3: Metro supporting investigation. 
wk24.4 intake shows PG-4920 is not the cause of lot abort. Review ongoing</t>
  </si>
  <si>
    <t>[SP38] MX HRG NOK - machine encountering PG-951D errors on Ctrl Z and Rx then WP-2C1D MMDC SW event. ​</t>
  </si>
  <si>
    <t>VS</t>
  </si>
  <si>
    <t>APSE</t>
  </si>
  <si>
    <t>[intake 2431]
wk37.3: Patch + FCO on SP36 available EOD
wk37.1 Delivery won't make batch 3b. Internal delivery wk37.4</t>
  </si>
  <si>
    <t>P778234</t>
  </si>
  <si>
    <t>[VHV][NXE][Pr20][mJM14] SP35v11 Lot fails on WXRO timeout during 'local_fcn_handler_WERO_input_and_start_prealign'</t>
  </si>
  <si>
    <t>[intake 2418]
wk33.2: Comeback in a week to confirm QBL delivery for abtch b
wk20.3 Seen 2 times, potential Top-X item</t>
  </si>
  <si>
    <t>P760454</t>
  </si>
  <si>
    <t>[BTR4][HW28] Error CV-22D2 on Driver Startup  After MPAC / PAAC communication issues.</t>
  </si>
  <si>
    <t>[intake 2418][coverage 0.2%]
wk26.4: RC breakthrough available, containment being worked on via increased timeout. Structural solution via new TSEL. 
wk21.5 CARM supported on deep dive. KW still owner. Update expected wk22.2 (and hopefully the planning)
w</t>
  </si>
  <si>
    <t>P735582</t>
  </si>
  <si>
    <t xml:space="preserve">[CO2TR2] HPRGA in sampling state while SEM is off </t>
  </si>
  <si>
    <t>FT</t>
  </si>
  <si>
    <t>MAQM</t>
  </si>
  <si>
    <t>Mutliple delays seen, also 2x in field</t>
  </si>
  <si>
    <t>[MTBF] HREUPT Cycling Failed - RQ-B006 MPAC peak current too high</t>
  </si>
  <si>
    <t>GHAY</t>
  </si>
  <si>
    <t>wk36.5 Wilton confirmed to have patch on Monday
wk34.3:Check if 9k is already in SP36c
wk28.4 Waiting test time, expected wk29
wk19.5 21x hits seen already. Main blocker for Top cluster</t>
  </si>
  <si>
    <t>P788174</t>
  </si>
  <si>
    <t>[Init] WP-60DF - [[WPPD_IT]WPPVI2_LCW_UTILS_close_bp_valve_when_ready:WPPVI2_GP_SETPOINT_NOT_REACHED]</t>
  </si>
  <si>
    <t>[Intake 2423]
wk36.3: test time shifted from Saturday to tomorrow. QBL delivery wk36. 9k patch wk37.2
wk36.1 New patch hit seen this weekend. Will shift out
wk34.3: Comeback 34.4 to make sure available in QBL wk35 
wk33.2: More  data requested by CARM, te</t>
  </si>
  <si>
    <t>P811792</t>
  </si>
  <si>
    <t>CPDs failing on BL6.1 (SP36) on WS MMDC - fatal position error in Z-direction</t>
  </si>
  <si>
    <t>wk38.3: On track for Batch 4a delivery</t>
  </si>
  <si>
    <t>NXE:3800 MTBF Worklist - Batch 4a [26hr MTBF] Frozen</t>
  </si>
  <si>
    <t>KI-6206 ABCOM failure due to RA recovery</t>
  </si>
  <si>
    <t>[intake 2437]
wk38.3: 4k to be delivered 38.5 and 9k external delivery 39.3
Wk 37: Testing ongoing. Solution phase closed
3x htis at Intel, reproduceable on DevBench</t>
  </si>
  <si>
    <t>P805757</t>
  </si>
  <si>
    <t>[SP38][BTR4] Wafcar can't start because system is not prepared for running lots failing on LO-841E</t>
  </si>
  <si>
    <t>EL</t>
  </si>
  <si>
    <t>BHEG</t>
  </si>
  <si>
    <t>P798126</t>
  </si>
  <si>
    <t>|EXE|VHV|mEX04-Proto#2| FOQSMI (Expose wafer Second Layer) failed by CN-0001 when executing queue FOCUS_UID96692_FOCAL_expose (UID101555_v4 line 58)</t>
  </si>
  <si>
    <t>[intake 2428]
wk38.3: Same solution as P780319. Solution HOI wk39.4.</t>
  </si>
  <si>
    <t>NXE:3800 MTBF Worklist - Batch 4b [26hr MTBF] Frozen</t>
  </si>
  <si>
    <t>P812028</t>
  </si>
  <si>
    <t>[VDH][Pr20][JM14] LOT Autorecovery failed due to WH Timeout during Reliability Run</t>
  </si>
  <si>
    <t>[intake 2440]</t>
  </si>
  <si>
    <t>[NoMoLa] NoMoLa recovered system OK (startup drivers = OK) but WH "stuck" with wafer logistics it seems on: CN-0001 - [[S2:WH; T1:WHAVMA; ]] Timeout occurred.</t>
  </si>
  <si>
    <t>[intake 2419]
wk38.3: Same solution as P798126. Solution HOI wk39.4.
Need help with test claim from Reliab team
wk19.2 New issue intake</t>
  </si>
  <si>
    <t xml:space="preserve">[E100][CO2TR2] Reliability queue failed on MX-action with LAA-010B. </t>
  </si>
  <si>
    <t>BD</t>
  </si>
  <si>
    <t>NDRI</t>
  </si>
  <si>
    <t>[intake 2430]
wk34.3: Comeback in wk35 for robust solution for SPA 141
wk32.2 As mentioned today in 9am, project agreed to investigate solution direction for this issue ( check if we can  add timing delay in the SF 15 side for MX).
 Comeback expected in W</t>
  </si>
  <si>
    <t>P580306</t>
  </si>
  <si>
    <t>[SP38] [PBS34561] [NXE3800 SCN] E3a: MBDS External Interfaces: Init-Precondition check</t>
  </si>
  <si>
    <t>P685429</t>
  </si>
  <si>
    <t>RU-0711: Write Length Does Not Match Expected Error on Startup Drivers</t>
  </si>
  <si>
    <t>RABG</t>
  </si>
  <si>
    <t>[intake 2417]
wk38.3: SW is is QBL. Should be in Batch 4b 
wk37.3: 9k patch oin SP37 or SP36 is based on outcome from SWI meeting 
wk34.3: Solution available in wk44.5. Move to batch 5- Patch installed wk29.5. Monitoring results</t>
  </si>
  <si>
    <t>During reticle move OVR to LDPT, PLB sensor is triggered at place exchange with BM-TIS reticles in Gudeng EIP causing RH OVR place LDPT operation to fail.</t>
  </si>
  <si>
    <t>[intake 2432]
wk38.3: 9k patch NOK due to Manual MC changes required. 1 wk delay.  
Solution expected in wk39 for Batch 4</t>
  </si>
  <si>
    <t>SSB5 reboots during operation which leads to disable intervention</t>
  </si>
  <si>
    <t>[intake 2438]
Wk39.3 QBL delivery ongoing. Patches expected on track for batch 4b. 9k Patch on track for 39.5. 400k available for reliab run if needed.
wk38.5 Firmware update needed to make it more robuust. Highest prio, planning expected wk38.5</t>
  </si>
  <si>
    <t>WDFC Avg Reflectivity MX fail on WD-3A00(with fix of P739132 installed) [Fast Track] (SP37)</t>
  </si>
  <si>
    <t>GNYK</t>
  </si>
  <si>
    <t>4 - Low</t>
  </si>
  <si>
    <t>[intake 2437]
wk38.3: Pending 9k patch delivery 
wk37.3: New issue Wk 37: Delivery to Rel6 -- SP37/SP18 --&gt; 900K for SP36 planned wk39</t>
  </si>
  <si>
    <t>WDSH failed at WD-2E0A</t>
  </si>
  <si>
    <t xml:space="preserve">[intake wk2431]
wk42.3: Patch stop missed, finish today (admin issue). Patrick will support to prevent next time. Expected release Friday, make sure before 16hr
wk41.3: UID re-try planned 15:30hrs. Test bench not working, hence patch not tested. Delivery </t>
  </si>
  <si>
    <t>NXE:3800 MTBF Worklist - Batch 5 wk42 [30hr MTBF]</t>
  </si>
  <si>
    <t>[mFG96] WHAV CN-00C0 timeout 10 minutes after MMDC</t>
  </si>
  <si>
    <t>[intake 2418]
wk42.2 Ontrack, code already in QBL
wk38.5: On track</t>
  </si>
  <si>
    <t>NXE:3800 MTBF Worklist - Batch 5 wk43 [30hr MTBF]</t>
  </si>
  <si>
    <t>P817767</t>
  </si>
  <si>
    <t>Decision for (un)loading wafers to/from chuck not mapped on resync after an exchange and reassign/recycle</t>
  </si>
  <si>
    <t>[intake 2437]
wk42.2 Ontrack, code already in QBL
wk41.1: 9k on SP37 still possible ? Get solution in Batch 5</t>
  </si>
  <si>
    <t>P808366</t>
  </si>
  <si>
    <t>SECS and Track interface settings will set to offline/disable after system restart</t>
  </si>
  <si>
    <t>[intake 2441]
wk42.2 Ontrack
wk41.1: 9k on SP37 still possible ? Get solution in Batch 5</t>
  </si>
  <si>
    <t>Lot abort due to WH-3106</t>
  </si>
  <si>
    <t>[intake 2436]
wk42.2 Already in SP37. Ontrack
wk41.4 Delivery in SP37 - monitoring
wk39.2: Sw team needs to investigate further.</t>
  </si>
  <si>
    <t>P769206</t>
  </si>
  <si>
    <t>Track output mishandled during a pending virtual output</t>
  </si>
  <si>
    <t>[intake 2420]
wk44.2: Still QBL Wednesday. 9k HOI thursday and release for friday.
wk42.2 Test code complete, but issue found in code. Delay: 1wk
wk39.2: Solution direction still not clear. Need Track test time to be planned. Reliab team to help  
wk38.3:</t>
  </si>
  <si>
    <t>NXE:3800 MTBF Worklist - Batch 5 wk44 [30hr MTBF]</t>
  </si>
  <si>
    <t xml:space="preserve">2444.3 12:25:54 - Dave Tompson (Amb Work notes)
(my mistake)
2444.3 09:32:31 - Dave Tompson (Amb Work notes)
Delayed due to code hit - now getting SP38 as baseline
</t>
  </si>
  <si>
    <t>P815937</t>
  </si>
  <si>
    <t>[PR23][SRC][SPA141] MX action name invalid</t>
  </si>
  <si>
    <t>DG</t>
  </si>
  <si>
    <t>ASJM</t>
  </si>
  <si>
    <t>[intake 2436]
wk41.3: Solution to be rolled out to factory end of wk41. Coverage set to 0 since its is a hit on MX and not MTBF p 
wk40.1 Only related to E200 config. Planned for release on SPA141</t>
  </si>
  <si>
    <t>[KeepAlive] CARM driver resets the MHCB2 board during for keep alive functionality</t>
  </si>
  <si>
    <t>PR</t>
  </si>
  <si>
    <t>OBOI</t>
  </si>
  <si>
    <t>NXE:3800 MTBF Worklist - Batch 6 wk46 [35hr MTBF]</t>
  </si>
  <si>
    <t xml:space="preserve">2439.1 18:40:46 - Shravan Rajagopalan (Amb Work notes)
Move coverage to leading AIR P803536
</t>
  </si>
  <si>
    <t>P778935</t>
  </si>
  <si>
    <t>[BTR4] UID 97474, PWP Test failed with WX-2A15</t>
  </si>
  <si>
    <t>[Intake 2419]</t>
  </si>
  <si>
    <t>NXE:3800 MTBF Worklist - Batch 6 wk47 [35hr MTBF]</t>
  </si>
  <si>
    <t>P786458</t>
  </si>
  <si>
    <t>[VHV][Pr20] WH 'Clear all' function fails on error WH-2671 after communication time out error CN-0066</t>
  </si>
  <si>
    <t>[intake 2422]</t>
  </si>
  <si>
    <t>P818605</t>
  </si>
  <si>
    <t>[BTR4] mx-action failed on MX-0000</t>
  </si>
  <si>
    <t>[intake 2438]
Wk44.3: On track for QBL wk45.4, customer release wk46.3. (Off track with 1 day + weekend run)
wk422.3: Solution on track for delivery in wk46 
wk41.3: Intake done, recognized. Solution phase expected closed this week + planning</t>
  </si>
  <si>
    <t xml:space="preserve">2442.3 13:11:31 - Shravan Rajagopalan (Amb Work notes)
Agreed in carousel to move to batch 6 wk46
</t>
  </si>
  <si>
    <t>Autorecovery fails due to WX-2A15 Ctrl block group for horizontal moves not enabled</t>
  </si>
  <si>
    <t>[intake 2442]</t>
  </si>
  <si>
    <t>P756662</t>
  </si>
  <si>
    <t>[PBS] single-image Dual PARIS PFNW Bad Weather</t>
  </si>
  <si>
    <t>[intake 2429]
wk44.3: Ontrack for QBL delivery wk44.4. Delivery of SP38 9k (no SP37 needed). Aiming for weekend run on Pr23 - SP38 with 4k
wk42.3: Still on track for delivery in wk44
wk39.3: On tack for delivery in wk44. Request to pull and HOI 9k on SP37</t>
  </si>
  <si>
    <t>P811151</t>
  </si>
  <si>
    <t xml:space="preserve">WEX scan fails due to wrong scan protocol </t>
  </si>
  <si>
    <t>[intake 2437]
wk44.3: QBL delivery done SP39
wk38.3: Risk of making batch 4b. Shift to Batch 5?</t>
  </si>
  <si>
    <t>Pi8 WafCar lot aborted due to root error KI-6206 'The AbCoM measurement quality was too low'</t>
  </si>
  <si>
    <t>[Intake 2437]
wk44.3: First code expected wk44.5, testing wk45. So still under review if we can meet plan (only SP38 9k)
wk42.3: SP37 + SP38 9k, customer release wk47 and wk46.4 QBL delivery. Check back on when SP38 rolls out to field  
wk41.3 Solution ph</t>
  </si>
  <si>
    <t>NXE:3800 MTBF Worklist - Batch 6 wk48 [35hr MTBF]</t>
  </si>
  <si>
    <t xml:space="preserve">2502.1 10:54:50 - Shravan Rajagopalan (Amb Work notes)
Would you say the issue was not resolved in Batch 6? I would say it looks worse actually (from the number of hits...I even recall it used to be contained). So did the Batch 6 update make things worse or did something else in, for example, SP38 make it worse, or did we simply not solve it?
2502.1 10:54:04 - Shravan Rajagopalan (Amb Work notes)
9k provided in Batch 6, however, issue reopened after recent hit on EZ60 at end of the year
</t>
  </si>
  <si>
    <t>[ET18] Wafer stuck at TWINSCAN and lot abort triggered after track stops for 5 mins</t>
  </si>
  <si>
    <t>[intake 2442]
wk47.2: On track for HOI 47.4</t>
  </si>
  <si>
    <t>[BL7.0] Synchronous start of chuck exchange delayed for the E2M chuck during LOT = MMDC error --&gt; CEX Brake</t>
  </si>
  <si>
    <t>[intake 2431]
wk44.3: UID not executed yet. Eric vd Palen reviewing first slot, also tomorrow back in 12 o'clock. SP38 9k still possible if successfull wk45.5
wk42.3:  Combo patch planned, testing ongoing (pr23). 9k for SP38 current estimation wk44.5
wk40</t>
  </si>
  <si>
    <t>P812628</t>
  </si>
  <si>
    <t>Machine constants not available in PMA for 3800E EUV machines</t>
  </si>
  <si>
    <t>SA</t>
  </si>
  <si>
    <t>ASPZ</t>
  </si>
  <si>
    <t>[intake 2445]</t>
  </si>
  <si>
    <t>P819007</t>
  </si>
  <si>
    <t xml:space="preserve">[PR20][JM14] ETPTNW failed on WH-A00A </t>
  </si>
  <si>
    <t>[intake 2438]
wk47.2: On track for HOI 47.4</t>
  </si>
  <si>
    <t>P835324</t>
  </si>
  <si>
    <t>WH-3106 state machine error caused lot abort and triggered WX-802A wafer unload time out</t>
  </si>
  <si>
    <t>[intake 24447]
wk48.5: SRGC to check if hit is seen after 903809
Link to leading and move coverage
 wk48.2: RC investigation on going</t>
  </si>
  <si>
    <t xml:space="preserve">[PR20] during WAFCAR, LOT recovery failed twice on WH-D1E1 </t>
  </si>
  <si>
    <t xml:space="preserve">[intake 2435]
wk47.2: 9k HOI delayed  by 3 days to wk48.1. Test on NQ in wk48 before relesea to  customer
wk44.2: Postpone to batch 6 to new findings.
wk41.5: Relevant info already available. RC likely to be known. Comeback on solution plan 
wk39.2: SRGC </t>
  </si>
  <si>
    <t>P780612</t>
  </si>
  <si>
    <t>[BMM-ETR2] WX-8025: Centering of wafer in Load Lock failed, Centering of wafer in Load Lock failed for LL2</t>
  </si>
  <si>
    <t>wk47.2: On track for HOI 47.4
wk42.5: Delay of 2 weeks
wk42.2 Delayed: Check with robots team was missed. Slip 2wks (risk on machine damage)
wk41.4 Potential delya, test plan missed for robot - tbd
wk38.3: Solution on track for wk42.5
wk41.5: Delay in del</t>
  </si>
  <si>
    <t>P805764</t>
  </si>
  <si>
    <t>[E200] Lot fails on DW-5C00/ DW-5A01 error (EU34, IX60) (E200 structural fix) SP40</t>
  </si>
  <si>
    <t xml:space="preserve">[intake 2438]
wk44.3 E200 delivery SW patch wk47.5. wk49 for QBL delivery, patch expected wk50 (SP40)
wk42.3 QBL on track wk51
wk40.3: E200 only. DC will only fix robustness. MTBF fix comes from SRC in SPA140v1. Plan in place for wk51
wk46.3: FW delivery </t>
  </si>
  <si>
    <t>NXE:3800 MTBF Worklist - Batch 7 wk50 [39hr MTBF]</t>
  </si>
  <si>
    <t xml:space="preserve">2452.2 14:42:46 - Shravan Rajagopalan (Amb Work notes)
[intake 2438]
wk48.3: 9k SP37 delivered. 9k for SP38 HOI wk49.4
wk47.3: QBL delivered wk47.5. 9k patch on wk48.1 on SP39. 9k on SP38 in wk49
wk46.3: FW delivery to be done wk47.5, on track 
wk44.3 E200 delivery SW patch wk47.5. wk49 for QBL delivery, patch expected wk50 (SP40)
wk42.3 QBL on track wk51
wk40.3: E200 only. DC will only fix robustness. MTBF fix comes from SRC in SPA140v1. Plan in place for wk51
</t>
  </si>
  <si>
    <t>[E100] Lot fails on DW-5C00/ DW-5A01 error due to +/-2 wbin mismatch (E100 FW containment) (KH72, JF75) SP40</t>
  </si>
  <si>
    <t>[intake 2437]
wk38.3: Linked to P805764
wk37.3: RC known and solution already available in SPA 140v2 - 614017
wk2437.1 New hit seen on Pi10 during reliab (Wafer reject only)</t>
  </si>
  <si>
    <t xml:space="preserve">LCW Pressure sensor P1&amp;P2 spike issue </t>
  </si>
  <si>
    <t>[intake 2343]
wk44.3: Delayed dure to SSB5 work. External relase wk50.3
wk40.3:On track. Internal release wk47.4 12:00, wk48.3 external release</t>
  </si>
  <si>
    <t>P812176</t>
  </si>
  <si>
    <t>[Pr23][E200 only] WAFCAR aborted due to: SN-150B 'Subsystem failed to send SARA or MSR reply in time</t>
  </si>
  <si>
    <t xml:space="preserve">[intake 2435]
wk44.3 On track for QBL delivery in wk47.2, 9k expected wk47.3. 
wk42.3: Agreed with delay as its E200 only. Delivery to QBL wk47.2. (no patch request from field, for sure not SP37, review SP38 9k requirement for EF)
wk41.3: Delivery wk45.4 </t>
  </si>
  <si>
    <t xml:space="preserve">2442.3 13:17:49 - Shravan Rajagopalan (Amb Work notes)
Agreed with delay as it is only E200 issue. Delivery to QBL wk47.2 (No patch requested to field, review SP38 9k requirement for EF)
</t>
  </si>
  <si>
    <t>P789987</t>
  </si>
  <si>
    <t>[BTR4] WSL wafer exchange MMDC (WP-2C1D BG_VLV_ENABLE_PREVENTED_BY_HW_ERROR)</t>
  </si>
  <si>
    <t>[intake 2431]</t>
  </si>
  <si>
    <t>Cannot start/stop lot queue due to "Lot operation" window hangup</t>
  </si>
  <si>
    <t>GBLA</t>
  </si>
  <si>
    <t>[intake 2447]</t>
  </si>
  <si>
    <t>[E100][EZ60] Remove 500ms check on auxiliary contactors during HV ON and HV OFF</t>
  </si>
  <si>
    <t xml:space="preserve">[intake 2442]
Wk42: New issue, intake ongoing
wk42.3 Investigation ongoing, expected feedback by Trumpf wk42.4 
wk43.3: RC understood. SW Patch currently only for EZ60 as containment. Need to still find a solution direction
wk44.3: Hardware as root cause </t>
  </si>
  <si>
    <t>NXE:3800 MTBF Worklist - Batch 7 wk51 [39hr MTBF]</t>
  </si>
  <si>
    <t xml:space="preserve">2503.1 16:22:24 - Shravan Rajagopalan (Amb Work notes)
Issue solved with DL Sw 4.2, then solution nor part of DL Sw 4.3 and then now added again in Sw4.4. This might also explain why we saw higher hit rate whe Sw4.3 was installed at customers
2452.2 14:35:57 - Shravan Rajagopalan (Amb Work notes)
wk51.2: Is there connection between this AIR and P829275 ?
wk49.3: Part swapped on EZ60 and issue not seen again since. Sw solution beta to be tested on SEC in wk51.4
wk48.3: RC to be completed by Trumpf tomorrow. Sw solution for Beta in wk51.1 directly to ONLY Intel. 
wk47.3: RC expected to be known in wk49. Containment via HW swap. HW returned from  customer to be investigated by supplier. Plan for Sw structural solution to be discussed next week. 
wk46.2: Data collected and shared with project. Do we have all the necessary data now? 
wk46.3: Issue on the contactor at Intel to be solved by swapping HW. P829275 is created at SEC. Project investigating if it is the same FM. 
wk45.3: OCAP provided and rolled out. Diagnostics improvements needed. Comback wk49
wk44.3: Hardware as root cause at Intel, lose contactor. Follow-up still tbd
wk43.3: RC understood. SW Patch currently only for EZ60 as containment. Need to still find a solution direction
wk42.3 Investigation ongoing, expected feedback by Trumpf wk42.4 
Wk42: New issue, intake ongoing
</t>
  </si>
  <si>
    <t>P835747</t>
  </si>
  <si>
    <t>No defense mechanism for PX-97A5 and PX-97A6 --&gt; this went unnoticed --&gt; need triggering mechanism (lot behaviour switch)</t>
  </si>
  <si>
    <t>DIAB</t>
  </si>
  <si>
    <t>[PH8585] KGHDMI tasks died unexpectedly</t>
  </si>
  <si>
    <t>MRHR</t>
  </si>
  <si>
    <t>[intake 2443]
wk2443.2 2 hits seen at SEC and 1 at Intel. This issue is seen AFTER installing SP36 with P734065 fixes. Traces now running on mAJ99 to gather data
Wk46: RCA ongoing
wk46.3: Solutoin direction still not clear. Monitor for next hit
wk47.3: Hi</t>
  </si>
  <si>
    <t>NXE:3800 MTBF Worklist - Batch 7 wk52 [39hr MTBF]</t>
  </si>
  <si>
    <t xml:space="preserve">2452.2 15:01:21 - Shravan Rajagopalan (Amb Work notes)
wk51.3: 9k and QBL delivery on wk51.4"
wk50.3: Project to hand over 5k to test TPT impact on Pr20 if TB issues persist.  Reliab to take along SWI on agreement to release before QBL 
wk49.3: QBL and 5k SP38 HOI wk51.5. Take along 4k ASAP. Project to follow up with SWI to make sure support is there in wk51-wk52
wk48.3: 9k on SP36 delivered already for IBS. 9k for SP38 HOI blocked by QBL delivery. Need a solution direction by wk48.5 
wk47.3: Hit from 3800 will be contained with solution from IBS. Containmnet for issue to be delivered via 5k on SP38 and SP39 in wk50. Confrim by Friday
wk46.3: Solution direction still not clear. Monitor for next hit
"Wk46: RCA ongoing
</t>
  </si>
  <si>
    <t>P811141</t>
  </si>
  <si>
    <t>Improve KEMI diagnostics for KE-7801</t>
  </si>
  <si>
    <t>Added in place of P666447. This AIR is only for adding imporved Diagnostics</t>
  </si>
  <si>
    <t xml:space="preserve">2452.2 15:04:06 - Shravan Rajagopalan (Amb Work notes)
wk51.3: 9k and QBL delivery on wk51.4"
"Wk51: Solved in batch 7
</t>
  </si>
  <si>
    <t>[IX60][Pilot 20]  Lot abort due to  OO-000B  [[S2:VSAP_PLC; T1:VSAP; ]] Connection lost for function</t>
  </si>
  <si>
    <t>[intake 2442]
wk49.5: 9k SP39 HOI wk50.5
wk49.2: QBL in wk49.3
wk48.5: On track
wk47.2: Plan to deliver in wk50
wk46.2: Possibility to have it in Batch 6 wk48</t>
  </si>
  <si>
    <t>NXE:3800 MTBF Worklist - Batch 8 wk03 [44hr MTBF]</t>
  </si>
  <si>
    <t xml:space="preserve">2452.2 15:41:11 - Shravan Rajagopalan (Amb Work notes)
[intake 2442]
wk49.5: 9k SP39 HOI wk50.5
wk49.2: QBL in wk49.3
wk48.5: On track
wk47.2: Plan to deliver in wk50
wk46.2: Possibility to have it in Batch 6 wk48
</t>
  </si>
  <si>
    <t>P804639</t>
  </si>
  <si>
    <t>Board Errors: WH boards only report generic error, whereas level of detail from NXE:3600 is expected. (Phase 1: HIPA SIOB Switching block VRBM)</t>
  </si>
  <si>
    <t>[intake 2439]
wk49.5: 9k SP39 HOI wk50.5
wk49.2: QBL in wk49.3
wk48.5: On track
wk40.1: If Test is okay in wk41, why do we still need till 25Q1 for release? Pull in options? 
wk39.5: Issue to be prioritized due to high hits on EXE at intel
EXE high hitter</t>
  </si>
  <si>
    <t xml:space="preserve">2452.2 15:41:15 - Shravan Rajagopalan (Amb Work notes)
[intake 2439]
wk49.5: 9k SP39 HOI wk50.5
wk49.2: QBL in wk49.3
wk48.5: On track
wk40.1: If Test is okay in wk41, why do we still need till 25Q1 for release? Pull in options? 
wk39.5: Issue to be prioritized due to high hits on EXE at intel
EXE high hitter
</t>
  </si>
  <si>
    <t>P842400</t>
  </si>
  <si>
    <t>Patch hit on SP37 AIR delivery P753454 DC driver reinit needed after SRC restart (EUV sync out) SP40 + 9k patches SP38+</t>
  </si>
  <si>
    <t xml:space="preserve">2503.1 10:48:40 - Shravan Rajagopalan (Amb Work notes)
Not an MTBF issue but it is a major issue if collector degradation is observed (will be rapid and 4x collectors lost in EF)
</t>
  </si>
  <si>
    <t>[PH8670] Customer Lot had been processed with different Lot's wafer after selecting 'Track Out of Sync, Restart Next Lot' option when WX-820A error recovered</t>
  </si>
  <si>
    <t>[intake 2447]
wk49.5: 9k SP39 HOI wk50.5
wk49.2: Already in QBL
wk48.5: 9k wk 50 on track</t>
  </si>
  <si>
    <t xml:space="preserve">2452.2 15:42:33 - Shravan Rajagopalan (Amb Work notes)
[intake 2447]
wk49.5: 9k SP39 HOI wk50.5
wk49.2: Already in QBL
wk48.5: 9k wk 50 on track
</t>
  </si>
  <si>
    <t>P836994</t>
  </si>
  <si>
    <t>Patch hit: DW-343B trigger under evaluation error threshold on SP37</t>
  </si>
  <si>
    <t>PMHC HLQB LD4 release for several quality and design issues</t>
  </si>
  <si>
    <t>[PMHC LD4] PMHC#42 (wk5)</t>
  </si>
  <si>
    <t>NXE:3800 MTBF Worklist - Batch 8 wk04 SP39 [44hr MTBF]</t>
  </si>
  <si>
    <t xml:space="preserve">2503.3 13:45:28 - Isaac Castanedo Guerra (Amb Work notes)
FCO to be added in AIR.
2502.3 13:32:47 - Shravan Rajagopalan (Amb Work notes)
Hw also tested OK. Check on FCO number
2452.2 15:18:36 - Shravan Rajagopalan (Amb Work notes)
wk50.3: Still on track 
wk48.2: We messed up, this is a HW delivery. HW coming in wk2503
wk48.3: Solution to be considered as delivered only when Hw is available
wk45.3: 5k is delivered tomorrow wk45.4
wk44.3 QBL Delivery done. On track for SP38 9k wk45.4
wk43.3: QBL delivery on track. 9k on SP37 not needed and only 9k on SP38 for wk45.4
wk43.2 SP37 9k not needed, SP38 9k planned wk46 
wk42.3 Test OK. QBL delivery wk43. wk48 for SP37 9k... Mustafa + Rene to discuss today. Feedback wk42.4
wk41.3 Testtime beeing delayed on Pr23. SP38 9k + QBL = wk43, 9k for SP37 is wk48. SWI to check if 9k creation can be supported + DTOM to check testtime
wk40.3 Testing in wk41, delivery in wk43. Communicated as best plan - no help requests
wk39.3 Keep alive functionality ready for testing wk41. Weekend run wk41. Aim to release to customer with batch5a wk42.3 (needs 9k on SP37)
[AALX wk2440.5] Request solution in Batch 5 (AIR in weekly carousel already).
wk38.3 Delay on KeepAlive functionality. Additional hit found in CPD's. Expected solution wk45
"New in Carousel Wk38: Need update
</t>
  </si>
  <si>
    <t>[Pr20] LOT fails to restart after autorecovery because of WH communication</t>
  </si>
  <si>
    <t>[intake 2438]
wk49.5: 9k SP38 HOI wk50.5. Customer release wk51 
wk49.2: Still likely to be on track for QBL this week  
wk48.5: Comeback on 49.2,. Good chance to make it on time 
wk47.2: Thijs to check if solution can be delivered in wk50. 
wk46.5: EDS o</t>
  </si>
  <si>
    <t xml:space="preserve">2452.2 15:41:51 - Shravan Rajagopalan (Amb Work notes)
[intake 2438]
wk49.5: 9k SP38 HOI wk50.5. Customer release wk51 
wk49.2: Still likely to be on track for QBL this week  
wk48.5: Comeback on 49.2,. Good chance to make it on time 
wk47.2: Thijs to check if solution can be delivered in wk50. 
wk46.5: EDS out for check and RC clear. Expect to be on track 
wk43.5: RC known. Solution direction known 
wk41.5: Issue under investigation. RC not known yet
</t>
  </si>
  <si>
    <t>[NXE3800][TECALGO] DW-3425/DW-343B: Production Wafer OverDose after Die Repair failed</t>
  </si>
  <si>
    <t>[intake 2450]
wk51.3: Solution in SPA141v3&amp; SPA140 in wk2503 HOI SWI.  
wk50.3: Request to make sure solution is ready for release to customer in wk2504</t>
  </si>
  <si>
    <t xml:space="preserve">2503.3 13:12:41 - Isaac Castanedo Guerra (Amb Work notes)
Patch is tested on Proto 20; running OK. Die repair on Proto 20 not connected to this patch. Delivery to SPA141v3. SPA140v2.5 patch is in delivery process.  Release for a-test and needs to be tested this week. To check with Src SW integration.
2452.2 15:12:17 - Shravan Rajagopalan (Amb Work notes)
wk50.3: Pull in to have solution in wk2503 HOI SWI. Bug in Firmware "
"wk50.2: New issue
</t>
  </si>
  <si>
    <t>[MTBF 4.5hr] - CN-00C0 due to KEETMI timeout in message reception [WS Service] [LH 2.5; MTBI 0.04; AVA 0.02]</t>
  </si>
  <si>
    <t>[intake 2448]</t>
  </si>
  <si>
    <t xml:space="preserve">2503.3 13:18:19 - Isaac Castanedo Guerra (Amb Work notes)
patch on SP36 done. Patch on SP39 on track for this week. SP38 wk4.4 - check if we can test earlier on wk4.2
2502.3 13:24:18 - Shravan Rajagopalan (Amb Work notes)
5k SP39 wk03.5 on track
2452.2 15:02:54 - Shravan Rajagopalan (Amb Work notes)
wk51.3: On track for 5k HOI wk2503.4"
wk50.3: HOI wk2503.4 for 5k SP39 
wk49.3: Come back wk49.5 9am for progress 
wk49.2: Biggest issue at this moment, critical to get plan asap
"Wk49: Solution testing underway. Rollout plan required
</t>
  </si>
  <si>
    <t>P788706</t>
  </si>
  <si>
    <t>[Pr20] WH-2507 background errors during ETPT</t>
  </si>
  <si>
    <t>[intake 2424]
wk50.2: Solution direction still not know.
wk49.2: Comeback on Friday 
wk48.5: RC still unclear now. Need to do further investigation
wk41.5: RC known, get plan on solution direciton</t>
  </si>
  <si>
    <t>NXE:3800 MTBF Worklist - Batch 9 wk06 [49hr MTBF]</t>
  </si>
  <si>
    <t xml:space="preserve">2452.2 15:42:07 - Shravan Rajagopalan (Amb Work notes)
[intake 2424]
wk50.2: Solution direction still not know.
wk49.2: Comeback on Friday 
wk48.5: RC still unclear now. Need to do further investigation
wk41.5: RC known, get plan on solution direciton
</t>
  </si>
  <si>
    <t>P685235</t>
  </si>
  <si>
    <t>[NXE Baseline3][BTR4][MAQ-020] CPD Failed XWLRWR (XWLRWR SLR to WS R/Phi Calibration) due to WESP</t>
  </si>
  <si>
    <t>[intake 2424]
wk51.2: Solution requested only for 9k on SP39 
wk49.5: 9k SP38 HOI wk2502.4
 wk48.2: On track for wk2502
wk47.2: Unlikelt to make wk50
wk42.2 MPAC firmware of supplier NOK, change required. Timing tbd
wk38.3: Solution with 9k patch for SP37</t>
  </si>
  <si>
    <t xml:space="preserve">2452.2 15:42:45 - Shravan Rajagopalan (Amb Work notes)
[intake 2424]
wk51.2: Solution requested only for 9k on SP39 
wk49.5: 9k SP38 HOI wk2502.4
 wk48.2: On track for wk2502
wk47.2: Unlikelt to make wk50
wk42.2 MPAC firmware of supplier NOK, change required. Timing tbd
wk38.3: Solution with 9k patch for SP37 and SP38 in wk41
wk41.5: Slip in delivery by mroe than 2 weeks
</t>
  </si>
  <si>
    <t>P812001</t>
  </si>
  <si>
    <t>[EXE][Pr2] lot failedd with error WH-D189 Measured wafer eccentricity is too large</t>
  </si>
  <si>
    <t>[intake 2446]
wk49.2: Issue found in APA recentering. Delay to wk2506 tentatively
wk48.5: Plan on leading AIR still not clear, come back in 49.2
wk48.4: Issue seen 3 times in EXE as well on SP20. Can we pull in to wk50 since Leading AIR is expected in wk4</t>
  </si>
  <si>
    <t xml:space="preserve">2452.2 15:42:50 - Shravan Rajagopalan (Amb Work notes)
[intake 2446]
wk49.2: Issue found in APA recentering. Delay to wk2506 tentatively
wk48.5: Plan on leading AIR still not clear, come back in 49.2
wk48.4: Issue seen 3 times in EXE as well on SP20. Can we pull in to wk50 since Leading AIR is expected in wk49
wk48.2: Need to re-check plan
wk47.2: Unlikely to make wk50
wk46.5: Hit seen on Pi15 in wk45
</t>
  </si>
  <si>
    <t>[MPAC4] TSEL PHY has instable link after startup in mirrored mode</t>
  </si>
  <si>
    <t>[intake 2438]
wk40.3: RC understood and fix under testing
delivery. New HSI needed, likely to be delivered in wk44 
wk39.3: fix defined for both TSEL issues, testing fix this week. If this wroks 5 boards need FW update (can be released in 1 HSI, but lot o</t>
  </si>
  <si>
    <t>NXE:3800 MTBF Worklist - Batch 9 wk08 [49hr MTBF]</t>
  </si>
  <si>
    <t xml:space="preserve">2502.3 14:54:30 - Shravan Rajagopalan (Amb Work notes)
HSI has not been installed on BTR4 yet. Comeback on test status.
2452.2 14:53:41 - Shravan Rajagopalan (Amb Work notes)
wk50.3: HOI wk2506 still on track "
wk50.3: HOI wk2506 still on track "
wk48.3: Issue likely to be related to Jitter in PADC. Need to test further on testbench . Potential to have solution HOI wk2506
"wk40.3: 2x hits seen on sept 11th and 1x sept 1st. Expecting phased delivery (splitting Prodrive firmware vs MPAC/PAAC). Root cause understood, fix under testing. Internel test ready expected wk41.5, external release expected wk44. Planning wk41.3
wk42.3 Test OK, planned for next HSI. Planned for wk44 --&gt; Planning NOK, to be validated if on track for customer delivery in wk44
wk43.3: Expect to handover HSI to WS by wk43.5. 
wk44.5 Patch delivered to WS. Now waiting for HSI integration. On track for QBL delivery wk46.4 and customer wk47.3
wk46.3: 9k patch creation unsuccesful. Delay of 2 weeks at least. JTEN to give UID to to test on BTR4. 
wk47.3: Solution direction still unclear. Expect to have solution only in 25Q1. Comeback on test results in wk48
</t>
  </si>
  <si>
    <t>P747949</t>
  </si>
  <si>
    <t>LOT fails on: RQ-330F - Required action id is not first in the scan queue.</t>
  </si>
  <si>
    <t>wk41.3: RC known. 6+ wks of effort. Planning ongoing. Impact assessment --&gt; planning wk41.3
wk38.3: Pulling in FTE from ORION project. Discussions ongoing with Josh (PCM) 
wk37.3: TETR test, side effect of P710299, RCA ongoing 
wk34.3: Solution in wk2440</t>
  </si>
  <si>
    <t xml:space="preserve">2452.2 15:34:18 - Shravan Rajagopalan (Amb Work notes)
wk50.3: Unlikely to make SP40. T date in wk2505 "
wk48.3: Opportunity to pull in to SP40
wk47.3: Still on plan 
wk45.3: Plan on track to SP41. 
wk43.3: QBL delivere in SP41 (25Q2).  Agree with current timeline 
wk40.3: Root cause still unknown. Comeback wk41.3 (resource coming in in 2wks). Moved to Batch X
wk37.3: TETR test, side effect of P710299. To be linked to leading, RCA ongoing
W36: RC started. Expect issue in sync layer. Test time on Friday on FFM to confirm RC
Need plan for solution.
Investigate wk36. Solution available wk2440.
Please check if we can start RC investigation now
</t>
  </si>
  <si>
    <t xml:space="preserve">[3800][EZ60] PG-6208 [PXxAVS:Ctrl.X.FB.ChkError]  Servo error: steady state position error. </t>
  </si>
  <si>
    <t>[intake 2437]
wk44.3: 'False earthquake detection'. 2 different hits (1x vibration in airmount triggered AVIS to open loop, 1x hit when system idle will be targetted with this AIR wk45.3)
wk41.3: No follow up done. Stuck at waiting for info 
wk40.3: RC ex</t>
  </si>
  <si>
    <t xml:space="preserve">2503.3 13:51:16 - Isaac Castanedo Guerra (Amb Work notes)
to deliver in wk6.4
2502.3 13:41:18 - Shravan Rajagopalan (Amb Work notes)
comeback with plan for 9k SP39
2452.2 15:22:15 - Shravan Rajagopalan (Amb Work notes)
wk50.3: Comenack on plan for 9k SP38 "
wk48.3: Comeback in wk50 for more details on opportunity of 9k for SP38 
wk46.3:  Solution to be delivered in SP40 for Unintended behavior during idle. POB team to check with CS CE on the 7+ hits seen in the field and explore opportunity to pull in 9k for SP38/SP39 
wk45.3: issue split into 3; 1-AIRmounts and AVIS;2-unintended behavior during idle;3- recover is not as it should be
wk44.3: 'False earthquake detection'. 2 different hits (1x vibration in airmount triggered AVIS to open loop, 1x hit when system idle will be targetted with this AIR wk45.3)
wk43.3: Second hit seen, data being collected via CS now. 
wk42.3 No follow-up done. Stuck at waiting for info. 
wk41.3 No follow-up done. Stuck at waiting for info
wk40.5 PCS of this issue fingerprint with AVIS in open loop point towards MAPA. contacted CS to help with definition of root cause
wk40.3 Root casue expected wk40.5 --&gt; Plan expected wk41.3
wk39.3 Short intake done (false earthquake detection triggered). Need follow-up plan
wk38.3 no intake done --&gt; Escalation Stephan will plan today / tomorrow with me and PCM
wk37.3: Intake this week
"New issue Wk 37: Problem stage open
</t>
  </si>
  <si>
    <t>P760446</t>
  </si>
  <si>
    <t xml:space="preserve">[VDH][BTR4] Error detected in SSRL interface to CARM rack. The MPAC4 PLL reports a lock error </t>
  </si>
  <si>
    <t>[intake 2438.5]
wk40.3: PLL lock issue. BTR4 testtime required. Potentially delivery plan in 2wks. Confirm planning wk41.3
wk39.3: Issue to be reproduced in BTR4 
wk27.2: Diag issues still ongoing. Come back in a week 
wk26.4: Testing moved to system from</t>
  </si>
  <si>
    <t xml:space="preserve">2452.2 14:58:02 - Shravan Rajagopalan (Amb Work notes)
wk50.3: HOI wk2506 still on track ""wk40: PLL Lock issue, BTR4 testtime required. Potentially delivery plan in 2wks. Confirm planning wk41.3
wk48.3: HSI likely to be delivered to WS in wk51. Containment to be HOI wk2506
wk47.3: CARM and KW to work together on findings and comeback on a way forward 
wk46.3: Issue could not be reproduced on BTR/Pr. RC likely to be CARM unstability. To be contained via longer timeout wait time during initialization &amp; shutdown.
wk44.3 Seems to happen during terminate, not during production. Low prio as its not MTBFp - follow-up by Jeroen with CARM
wk43.3: Investigation ongoing to determine if issues is KW or CARM via tests on BTR 
wk42.3 Not solved on BTR4, data gathering ongoing
wk41.3 Moved to init successrate. Potentially in next HSI
</t>
  </si>
  <si>
    <t>P846251</t>
  </si>
  <si>
    <t xml:space="preserve">[VHV][JM14][Proto20] LOT queue NOK on PG-4B3F </t>
  </si>
  <si>
    <t>NXE:3800 MTBF Worklist - Batch X</t>
  </si>
  <si>
    <t>P846248</t>
  </si>
  <si>
    <t>[VHV][NXE][Pr20][mJM14] Lot failed to start due to RQ-330F during WAFCAR run</t>
  </si>
  <si>
    <t xml:space="preserve">2501.1 12:52:05 - Shravan Rajagopalan (Amb Work notes)
Auto recovery successful
</t>
  </si>
  <si>
    <t>[AJ99] - PDA-0026 - SLRS Warmup failed due to invalid RBD Signal</t>
  </si>
  <si>
    <t xml:space="preserve">2503.3 14:12:33 - Isaac Castanedo Guerra (Amb Work notes)
Handshake to be done with FC-72
2502.5 13:19:30 - Shravan Rajagopalan (Amb Work notes)
Issue seen during MX action. Comeback in wk03.3
2452.2 14:32:15 - Shravan Rajagopalan (Amb Work notes)
Wk51: New issue. Intake ongoing
</t>
  </si>
  <si>
    <t>The track not removing the 7th wafer of a lot for over 5 minutes causes WX-802A on the 14th wafers the lot</t>
  </si>
  <si>
    <t>[intake 2447]
wk49.2: Not considered as WH issue. Track issue. Check with LT TEL engineers to see if TEL can fix it. Check if these are really MTBFp or MTBFu issue  
wk48.2: Intake still pending. CS -CE to enrich AIR</t>
  </si>
  <si>
    <t xml:space="preserve">2452.2 15:40:04 - Shravan Rajagopalan (Amb Work notes)
[intake 2447]
wk49.2: Not considered as WH issue. Track issue. Check with LT TEL engineers to see if TEL can fix it. Check if these are really MTBFp or MTBFu issue  
wk48.2: Intake still pending. CS -CE to enrich AIR
</t>
  </si>
  <si>
    <t>P846897</t>
  </si>
  <si>
    <t>FHI shows internal error and FHI streaming events are delayed</t>
  </si>
  <si>
    <t xml:space="preserve">2502.5 11:00:22 - Isaac Castanedo Guerra (Amb Work notes)
SICS team provided plenty of info in AIR but require specific information from local team to continue further the investigation.
2502.3 13:03:46 - Shravan Rajagopalan (Amb Work notes)
AIR data enriched now. Investigation ongoing. Comeback on 9am Firday
</t>
  </si>
  <si>
    <t>[intake 2450]</t>
  </si>
  <si>
    <t xml:space="preserve">2452.2 15:40:15 - Shravan Rajagopalan (Amb Work notes)
[intake 2450]
</t>
  </si>
  <si>
    <t>MPH disabled w/ PX-97A6 during lot operation</t>
  </si>
  <si>
    <t xml:space="preserve">2503.3 13:44:49 - Isaac Castanedo Guerra (Amb Work notes)
No occs since the swap. All is in AIR. To removed from this list.
2452.2 15:17:02 - Shravan Rajagopalan (Amb Work notes)
wk51.3: PSU swapped. Monitoring, stock to be flushed"
wk50.3: PSU still not swapped. 
wk49.5: Request to swap PSU ongoing for AJ99
Wk48.3: Child AIR P835747 to be delivered in wk51.5 on SP38. RC failures on PSU still pending investigation
"wk48: Intake ongoing.
</t>
  </si>
  <si>
    <t>[NXE3800E100] ET18 SRC state transition fails by BP-2A36</t>
  </si>
  <si>
    <t>[intake 2442]
wk50.3: Solution direciton still not known. Project to investigate the risk. Monitor till wk2502</t>
  </si>
  <si>
    <t xml:space="preserve">2503.3 13:22:31 - Isaac Castanedo Guerra (Amb Work notes)
DC investigated and found issue in error linking. Help request: bring clarity on impact and priority.
2452.2 14:40:55 - Shravan Rajagopalan (Amb Work notes)
wk50.3: Solution direciton still not known. Project to investigate the risk. Monitor till wk2502
</t>
  </si>
  <si>
    <t>P757472</t>
  </si>
  <si>
    <t>[DV-002C][PG-6645]invalid channel data has been encoutered for device WH_SIOB.ET_ENC_HI_PRC1.2. ERROR 1, POS_FND 0</t>
  </si>
  <si>
    <t>0.12</t>
  </si>
  <si>
    <t>[intake 2408]
wk50.2: Re-check if this issue is still seen recently? Could be system specific
wk48.5: Investigation still pending due to TPT issues taking prio
wk48.2: Investigation to be done in wk49. Comback on wk50
wk38.3: Check with Shreya on latest h</t>
  </si>
  <si>
    <t xml:space="preserve">2452.2 15:40:33 - Shravan Rajagopalan (Amb Work notes)
[intake 2408]
wk50.2: Re-check if this issue is still seen recently? Could be system specific
wk48.5: Investigation still pending due to TPT issues taking prio
wk48.2: Investigation to be done in wk49. Comback on wk50
wk38.3: Check with Shreya on latest hits
2437.1 15:45:00 - Shravan Rajagopalan (Amb Work notes)
Issue triggered based on mail from Shreya. High freq on EXE systems
</t>
  </si>
  <si>
    <t>[BTR4] A fatal position error is triggered on the AUR when the wafer is being recovered during a failed or aborted readout for RXMIMF</t>
  </si>
  <si>
    <t>[intake 2449]
wk50.5: RC ongoing.</t>
  </si>
  <si>
    <t xml:space="preserve">2452.2 15:40:41 - Shravan Rajagopalan (Amb Work notes)
[intake 2449]
wk50.5: RC ongoing.
</t>
  </si>
  <si>
    <t>[EZ60] - Lot recovery fail due to DN-0A13</t>
  </si>
  <si>
    <t xml:space="preserve">LOT recovery fails on SUR error WX-0415 Move not allowed with brake applied to axis. Move not allowed with brake applied to Z. </t>
  </si>
  <si>
    <t xml:space="preserve">[Intake 2421]
wk48.5: Linked to driver functionality which needs larger work to be done. Needs a plan update
wk47.3: unlikely to make wk50
wk33.5:
Umbrella AIR P7849549 (Replaced in reliab ambition list with AIRs listed below:
P805784 --&gt; Unclear single </t>
  </si>
  <si>
    <t xml:space="preserve">2502.5 12:41:34 - Shravan Rajagopalan (Amb Work notes)
recent hit seen at TSMC
2452.2 15:40:46 - Shravan Rajagopalan (Amb Work notes)
[Intake 2421]
wk48.5: Linked to driver functionality which needs larger work to be done. Needs a plan update
wk47.3: unlikely to make wk50
wk33.5:
Umbrella AIR P7849549 (Replaced in reliab ambition list with AIRs listed below:
P805784 --&gt; Unclear single hitter (low prio for now)
P809528 --&gt; High hitter and RC still unclear. Solution to be defined end of wk35. Solution to come along with Chuck dedication in wk38 (Batch 3c)
P809529 --&gt; Solution in QBL wk39 [Batch 4]
</t>
  </si>
  <si>
    <t>P743160</t>
  </si>
  <si>
    <t>[PBS34063] Introduce Smart Duty Cycle Limiter for RS</t>
  </si>
  <si>
    <t>[intake 2446]</t>
  </si>
  <si>
    <t xml:space="preserve">2452.2 15:32:51 - Shravan Rajagopalan (Amb Work notes)
wk50.3: Likely to be in for 25Q2
Wk48.3: Additional staffing secured for 9k patches. Pull for 9k in SP39  25Q2
wk47.3: Help request made towards additional resource needed. Currently planned for SP42 without repair.
</t>
  </si>
  <si>
    <t>P846490</t>
  </si>
  <si>
    <t>[BTR4] [SCN] lot abort on steady state position error</t>
  </si>
  <si>
    <t xml:space="preserve">2501.1 12:54:16 - Shravan Rajagopalan (Amb Work notes)
Multiple Auto recovery successful
</t>
  </si>
  <si>
    <t>P842685</t>
  </si>
  <si>
    <t xml:space="preserve">KDWA driver failed - Investigation required </t>
  </si>
  <si>
    <t>[intake 2450]
wk51.3: Stack traces requested to LT, continue to monitor till next hit
Wk51: New issue. Intake ongoing</t>
  </si>
  <si>
    <t xml:space="preserve">2502.3 13:16:53 - Shravan Rajagopalan (Amb Work notes)
Monitor for 2 weeks for hit. Still blocked by emtry stacktraces
2452.2 15:03:20 - Shravan Rajagopalan (Amb Work notes)
wk51.3: Stack traces requested to LT, continue to monitor till next hit "
"Wk51: New issue. Intake ongoing
</t>
  </si>
  <si>
    <t>P831878</t>
  </si>
  <si>
    <t>in the 3800, a sanity check is implemented. due to there is no marge for max attenuation level, the error UL-00FA is easyly triggered. need implement a Marge.</t>
  </si>
  <si>
    <t>UN</t>
  </si>
  <si>
    <t>CBHB</t>
  </si>
  <si>
    <t xml:space="preserve">2452.2 15:39:32 - Shravan Rajagopalan (Amb Work notes)
Wk51: Solved in batch 8
</t>
  </si>
  <si>
    <t>[NXE3800][DS64] PG-48B4 occurs intermittently which reports scan concatenation issues</t>
  </si>
  <si>
    <t>[intake 2449]
wk50.2: Need support from SWI</t>
  </si>
  <si>
    <t xml:space="preserve">2452.2 15:40:52 - Shravan Rajagopalan (Amb Work notes)
[intake 2449]
wk50.2: Need support from SWI
</t>
  </si>
  <si>
    <t>[intake 2440]
wk46.5: SRGC to check with SE how to solve this since it is Track related</t>
  </si>
  <si>
    <t xml:space="preserve">2452.2 15:40:57 - Shravan Rajagopalan (Amb Work notes)
[intake 2440]
wk46.5: SRGC to check with SE how to solve this since it is Track related
</t>
  </si>
  <si>
    <t>[EZ60][3800] MI-FED5 causing LOT abort and subsequent init issues</t>
  </si>
  <si>
    <t>SP</t>
  </si>
  <si>
    <t>IVAM</t>
  </si>
  <si>
    <t xml:space="preserve">2503.3 14:19:45 - Isaac Castanedo Guerra (Amb Work notes)
Part is at supplier to investigate RC. 1 wk to check the hardware.
2452.2 15:38:43 - Shravan Rajagopalan (Amb Work notes)
wk49.3: Board is swapped but not received by SPM team. DTOM to connect SPM project with MN follow-up
wk48.3: Board still not swapped. To be done soon. Project to make sure MN is in place
Wk47.3: Intial suggestion this is a HW issue. Board to be swapped and handed back to project/supplier 
wk46.3: Additional data collection shared with local team to collect data on future hits. 
Wk46: RCA ongoing
</t>
  </si>
  <si>
    <t>P759665</t>
  </si>
  <si>
    <t>[ETR2] AWH Home and Recover CH step fails on WH-2673 (transport state of wafer does not match wafer location)</t>
  </si>
  <si>
    <t>[intake 2414]
wk21.2: SRGC to check on frequency of hits.
wk2415.1 - Data below taken from Child AIR P735517
wk10.2 - leading AIR P759665. SW team investigating - update requested in IRM
wk09.3 - init team started investigation
wk05.2 | wk06.2 | wk07.2 |</t>
  </si>
  <si>
    <t xml:space="preserve">2452.2 15:41:04 - Shravan Rajagopalan (Amb Work notes)
[intake 2414]
wk21.2: SRGC to check on frequency of hits.
wk2415.1 - Data below taken from Child AIR P735517
wk10.2 - leading AIR P759665. SW team investigating - update requested in IRM
wk09.3 - init team started investigation
wk05.2 | wk06.2 | wk07.2 | wk08.2- prio on other issues - next on list
wk04.2 - prio on other issues
Wk03.2  -prio still on other issues. Expected to be picked up wk04
wk02.2 - not picked up yet due to priorities.wk51.3 - New solver assigned wk51.3 - solver will determine priority within team
</t>
  </si>
  <si>
    <t>P821077</t>
  </si>
  <si>
    <t>RQ-B006 RS_MMDC: LS_VELOCITY due to RS LoS Encoder Error</t>
  </si>
  <si>
    <t>[intake 2439]
wk42.3: Too high current requested. AIR for KW under investigation 
wk41.3: Potentially connector issue. Expecting Pi11 requires an encoder swap as well</t>
  </si>
  <si>
    <t xml:space="preserve">2452.2 15:35:05 - Shravan Rajagopalan (Amb Work notes)
wk47.3: Issue seen on Pi1 in wk47. RC still being investigated, expectation from project is encoders should be okay. OCAP to be updated with learnings. SPS needed to explain encoder issue"
wk46.3 GHAY to share offline update today 
wk45.3: HW RCA is narrowed down; Next week to reach a conclusion on possible Root cause and a plan to follow up.
wk42.3 Related to encoder issues. Expecting Pi11 requires an encoder swap as well. Expecting connectivity issues (Pr20 encoder FAR was NFF). Come back with way forward (both for Pi11 as other systems)
wk41.3 Potentially connector issue. Hardware only today at right people for test. (First prio is current issue at Pr23, after that investigation on overall RQ-B006). Update tomorrow on the way forward.
"wk40: Intake ongoing (now 2 systems having first long stroke errors, and on Pr20 encoder issues afterwards). Hardware FAR from Pr20 received, first results expected wk40.5. Pi11 also back wk40.5.
</t>
  </si>
  <si>
    <t xml:space="preserve">[MTBF] Lot abort | SF-4305 | SF driver </t>
  </si>
  <si>
    <t>AL</t>
  </si>
  <si>
    <t>DYAY</t>
  </si>
  <si>
    <t>[intake 2436]
wk39.3: Diagnostics traces installed on mEZ60. Monitor for next hit
wk38.3: RC investigation ongoing. Traces implemented and triggered on Pr23. Driver on SIM, also will happen with REAL. Waiting for data</t>
  </si>
  <si>
    <t xml:space="preserve">2503.3 13:55:39 - Isaac Castanedo Guerra (Amb Work notes)
CARM team supporting to create the patch. Only in wk7.  Check with CARM if this diag patch can be created earlier.
2502.5 10:56:23 - Isaac Castanedo Guerra (Amb Work notes)
CARM will pick up the issue. Delivery date wk06. Follow up during carousel.
2502.3 13:27:37 - Shravan Rajagopalan (Amb Work notes)
Follow up with CARM and AL still pending
2452.2 14:30:58 - Shravan Rajagopalan (Amb Work notes)
wk51.3: Need further updates on CARM patch. After CAMR work, test possibly on BTR4 as well. New issue Wk 37: Problem stage open
wk37.3 No detailed log as AIR is &gt;4wks old. Investigation started. Waiting to catch more data, prep ongoing to get data stream
wk38.3 Traces implemented, and triggered (at Pr23). Driver was at SIM, also happens wil REAL, but need data with REAL. Review ongoing 
wk39: traces implemented on EZ60. Waiting for next hit
wk40: CARM Specilist blocking - required
wk42: Review with CARM ongoing, board identified. Investigation ongoing of specilist (~2wks)
wk44.3 SW fix is prepared, CARM to make patch out of this. Expected feedback wk44.5 on patch
wk45.3: Patch ready by CARM; TR4 to be installed and monitor patch; to monitor for 3 months. 
wk48.3: Continue to monitor for hit for 2 more weeks else try to induce the error
wk49.3: Making EP to induce the error on test rig 4 WLT. Comeback on firday 9am to test if there is option to add tracking beyond TR4 
wk50.3: Testing on test rig 4 sitll not done, exploring option to test on other systems as well
</t>
  </si>
  <si>
    <t>Auto recovery failure with CN-00AF (PXRD_PG)</t>
  </si>
  <si>
    <t xml:space="preserve">2502.3 13:34:30 - Shravan Rajagopalan (Amb Work notes)
Check with Amin to enrich AIR on next hit
2452.2 15:19:01 - Shravan Rajagopalan (Amb Work notes)
Wk50: Intake ongoing
</t>
  </si>
  <si>
    <t>P846358</t>
  </si>
  <si>
    <t>[Pr20] DL tripped with PA0,PA1,PA2,PA3,TRUC and HPDLM cabinets all in trip mode when running Wafcar</t>
  </si>
  <si>
    <t xml:space="preserve">2503.3 14:15:15 - Isaac Castanedo Guerra (Amb Work notes)
Proposal to follow Diag and HW change via separate AIRs
2502.5 13:09:46 - Shravan Rajagopalan (Amb Work notes)
Investigation to be done. Could be a re-occurrence of a known issue
2452.5 13:28:13 - Shravan Rajagopalan (Amb Work notes)
[intake wk2452]
</t>
  </si>
  <si>
    <t>P789516</t>
  </si>
  <si>
    <t>[E100][MK4 Diagnostics] LP04 Logs storage not enough for troubleshooting</t>
  </si>
  <si>
    <t xml:space="preserve">2502.5 13:10:55 - Shravan Rajagopalan (Amb Work notes)
Solution expected in wk2517. Check in by wk2512
2452.2 14:33:18 - Shravan Rajagopalan (Amb Work notes)
wk50.3: Solution to be released in wk2512
wk49.3: Solution in DL SW 04.05.0 (25Q1)
Wk49: Soltion in DL SW 04.03.01 (wk45)
</t>
  </si>
  <si>
    <t>Bilz Damper EPPC in Ethercat control communication error</t>
  </si>
  <si>
    <t xml:space="preserve">2503.3 14:16:50 - Isaac Castanedo Guerra (Amb Work notes)
Insufficient logging to do investigation. Logging from Drive Laser. Bring back to CS and competence engineer. Action on reliab team to help get logging.
2452.2 14:34:35 - Shravan Rajagopalan (Amb Work notes)
Wk50: Intake complete. RCA ongoing
</t>
  </si>
  <si>
    <t>Lot aborted with BP-2801 (invalid energy profile provided)</t>
  </si>
  <si>
    <t xml:space="preserve">2503.3 13:23:15 - Isaac Castanedo Guerra (Amb Work notes)
Intake do be done. Come back wk4.3
2452.2 14:41:07 - Shravan Rajagopalan (Amb Work notes)
"Wk49: Intake ongoing
wk49.3: IRM intake ongoing. RC to be clarified if ownership is DC or SRC performance
wk50.3: Ownership stays with DC. Could be linked to a potential known issue "
</t>
  </si>
  <si>
    <t>HIRG: TSA_VLV6 Internal failures</t>
  </si>
  <si>
    <t xml:space="preserve">2503.3 13:58:11 - Isaac Castanedo Guerra (Amb Work notes)
Lifetime test is being performed at supplier. Solution is being implemented. Comeback wk5.3
2452.2 14:48:07 - Shravan Rajagopalan (Amb Work notes)
Wk51: Solution planned for 2513
</t>
  </si>
  <si>
    <t>P847938</t>
  </si>
  <si>
    <t>mEU34 SO53025124 CU_OT_RH IVR suffer RU-0B00 at CVRST3</t>
  </si>
  <si>
    <t xml:space="preserve">2503.3 14:05:55 - Isaac Castanedo Guerra (Amb Work notes)
Special request via CS. Investigate if this is by design or can happen as MTBF hit.
2503.2 09:00:26 - Shravan Rajagopalan (Amb Work notes)
2 hits on customer system with 3.5 hours lost
</t>
  </si>
  <si>
    <t>Lot aborted by WH-19FC - AUR claim to pick up wafer not granted</t>
  </si>
  <si>
    <t>P846246</t>
  </si>
  <si>
    <t>[VHV][JM14][Proto20] LOT queue NOK on PX-0A14</t>
  </si>
  <si>
    <t xml:space="preserve">2503.3 13:45:56 - Isaac Castanedo Guerra (Amb Work notes)
Investigation ongoing if this is new or duplicate.
2502.3 13:35:39 - Shravan Rajagopalan (Amb Work notes)
Expect to be added to backlog of FC
2501.1 12:48:08 - Shravan Rajagopalan (Amb Work notes)
Auto recovery successful
</t>
  </si>
  <si>
    <t>P748414</t>
  </si>
  <si>
    <t>MPH init 1st 3 steps failed on: CV-125E - SRIO BUS error while reading from address 0x00800050 (effective address=0x3fff69800050) at endpoint with id 0x1</t>
  </si>
  <si>
    <t xml:space="preserve">wk51.4 | SP41 +9k for Sp39 &amp; SP40
wk42.3 Plan for wk50. Check-in planned at wk45
wk41.3: On track
wk37.3: RCA done 
Wk36.3: RCA will start 
Wk35.3: need to pull in the RC investigation now. Confirm by end of this week.
wk34.3 Confirm plan, stays in Batch </t>
  </si>
  <si>
    <t xml:space="preserve">2503.3 13:46:56 - Isaac Castanedo Guerra (Amb Work notes)
9k Patch on SP39 - wk tbd
2502.5 14:52:17 - Isaac Castanedo Guerra (Amb Work notes)
Stephan Kuijpers agreed to include FCO into AIR. Request to come back with a plan to deliver 9k on SP39.
2502.3 13:39:48 - Shravan Rajagopalan (Amb Work notes)
Comeback on 9k plan for SP39
2452.2 15:20:40 - Shravan Rajagopalan (Amb Work notes)
wk50.3: RC still not known. Issue could be re-produced now, comeback in 9am on progress "
wk49.3: Comeback wk49.5 9am 
wk48.3: RC to be consolidated with CARM and come back in wk49
wk46.3: RC still unclear, CARM might also need to support. Expect to close RC wk47
wk45.3: RCA on-going - possible delay for QBL on wk50
wk44.3: On track for QBL wk50
wk43.3: On track for QBL wk50
"wk42.3 Plan for wk50. Check-in planned at wk45
</t>
  </si>
  <si>
    <t>High Voltage Tracking Error resulting in HIPA swaps</t>
  </si>
  <si>
    <t xml:space="preserve">2503.3 14:28:34 - Isaac Castanedo Guerra (Amb Work notes)
Sent update on wk3.2; suspect is high voltage infra. Propose test plan to Intel but got delayed. EF pilot suffering the same issue. Ongoing during this wk3.  Working to expedite new HIPA design with suppliers. Design is finished. Supplier to come up with rollout plan.
2452.2 15:48:11 - Shravan Rajagopalan (Amb Work notes)
wk49.3: Follow up with JKUZ"
wk49.3: Follow up with JKUZ wk49: Solution rollout plan required
</t>
  </si>
  <si>
    <t>P844196</t>
  </si>
  <si>
    <t>|NXE|VHV|PROTO#20|CN-0001 'Timeout occurred.'</t>
  </si>
  <si>
    <t xml:space="preserve">2503.3 13:23:24 - Isaac Castanedo Guerra (Amb Work notes)
Intake to be done. Comeback wk4.3
2452.2 14:40:33 - Shravan Rajagopalan (Amb Work notes)
Wk51: Solved in batch 9
</t>
  </si>
  <si>
    <t>|NXE3800|VHV| WAFCAR failed on CN-00C0 for RPMA</t>
  </si>
  <si>
    <t>RBZB</t>
  </si>
  <si>
    <t xml:space="preserve">[intake 2437]
wk423.: Linked to leading O515487 
wk41.3: RPAS mk2 introduction planned. Test for wk47-51. Expected release next year. Containment: PCS improved, can't be improved in SW. Expecting a Start/Stop introduction.
Wk39.3: IBS team not involved </t>
  </si>
  <si>
    <t xml:space="preserve">2502.3 14:04:31 - Shravan Rajagopalan (Amb Work notes)
PCS already available. Check needs to be done if Mk1 stock is in the field
2452.2 15:36:41 - Shravan Rajagopalan (Amb Work notes)
[intake 2437]
wk42.3.: Linked to leading P515487 
wk41.3: RPAS mk2 introduction planned. Test for wk47-51. Expected release next year. Containment: PCS improved, can't be improved in SW. Expecting a Start/Stop introduction.
Wk39.3: IBS team not involved and looking at in. RC clear. Plan for solution by end of this week
wk38.5 Escalated to PCM - he's now helping to get this asap
wk38.3: Solution from IBS team. Ramzi to support to bring this with high prio with PCM 
New issue Wk 37: Problem stage open
RH gets stuck, transfer issue to RH
</t>
  </si>
  <si>
    <t>[ET18] - RY-9802 Lot abort - Hypothesis RH-988E is the root cause</t>
  </si>
  <si>
    <t>[intake 2447]
wk51.3: WLT CS-CE team following up with LT on the duration of DT and improvement options. Additional monitoring still requested for this Error on tool</t>
  </si>
  <si>
    <t xml:space="preserve">2502.3 14:06:15 - Shravan Rajagopalan (Amb Work notes)
RTT traces already installed at customer machine. Monitor for next hit
2452.2 15:29:47 - Shravan Rajagopalan (Amb Work notes)
wk50.3: Comeback on reason for low impact. Check for possiblity for improved Diagnostics 
wk49.3: Sufficient data available to do investigation. Trying to recreate the issue with the dev bench 
wk48.3: RC still not clear, comeback next week
wk47.3: New issue. To be investigated
</t>
  </si>
  <si>
    <t>mET18 LAW-1002 ; 3 lot aborts - fixed with RFg swap</t>
  </si>
  <si>
    <t>BT</t>
  </si>
  <si>
    <t>SBFN</t>
  </si>
  <si>
    <t>P762678</t>
  </si>
  <si>
    <t xml:space="preserve">[NXE3800] [PR23 SRC][ILT] DCM signal drop-out leads ILT to go to Open Loop </t>
  </si>
  <si>
    <t>On Hold</t>
  </si>
  <si>
    <t xml:space="preserve">2503.3 13:07:19 - Isaac Castanedo Guerra (Amb Work notes)
2 occs on Protos; containtment is to swap unit. Both HW to be inspected for failure analysis. Possible infant mortality on the HW unit. Comeback in 3 weeks
2501.7 15:34:24 - Shravan Rajagopalan (Amb Work notes)
Originally tracking duplicate P833682.
</t>
  </si>
  <si>
    <t>[EZ60] - MTBF Hits - RU-0938 Recovery Error | RH Port Guard Sensor</t>
  </si>
  <si>
    <t xml:space="preserve">2502.3 14:07:23 - Shravan Rajagopalan (Amb Work notes)
If no hits seen before wk4, remove from Reliab list
2452.2 15:29:03 - Shravan Rajagopalan (Amb Work notes)
wk50.3: Real time tracing added to tool. Monitor for next hit
wk49.3: Need to check if data collection can be implemented on mEZ60 
Wk48.3: Request shared towards Av team to gather more data. Involve D&amp;E onsite to also help with collecting data 
wk48: Intake ongoing.
</t>
  </si>
  <si>
    <t>[E100] MX-action event failed due to HV enable fail. Individual mx-actions repeated despite being previously OK</t>
  </si>
  <si>
    <t xml:space="preserve">2452.2 14:36:29 - Shravan Rajagopalan (Amb Work notes)
wk50.2: New issue
</t>
  </si>
  <si>
    <t>P846419</t>
  </si>
  <si>
    <t>[HX32] [SCN] Lot abort on lot ID not unique</t>
  </si>
  <si>
    <t xml:space="preserve">2503.1 16:51:54 - Shravan Rajagopalan (Amb Work notes)
Single hitter at ETR2
</t>
  </si>
  <si>
    <t>P846067</t>
  </si>
  <si>
    <t>LAA-010B Main Shutter closed timeout failed despite HPDLM logging a shutter closed event.</t>
  </si>
  <si>
    <t xml:space="preserve">2502.5 13:26:19 - Shravan Rajagopalan (Amb Work notes)
Follow up AIR to check with SEC id MS issues are solved after DL SW 4.4
</t>
  </si>
  <si>
    <t>WH-19F3 Request of a wafer timed out. The next wafer was not provided from track.</t>
  </si>
  <si>
    <t>[intake 2447]
wk49.2: Request towards D&amp;E to add more details. Comeback on Friday 
wk48.5: Data still being investigated</t>
  </si>
  <si>
    <t xml:space="preserve">2452.2 15:41:43 - Shravan Rajagopalan (Amb Work notes)
[intake 2447]
wk49.2: Request towards D&amp;E to add more details. Comeback on Friday 
wk48.5: Data still being investigated
</t>
  </si>
  <si>
    <t>P816726</t>
  </si>
  <si>
    <t>Lot aborted by WPPD MMDC - WSCB charging or internal error</t>
  </si>
  <si>
    <t xml:space="preserve">2503.1 16:05:12 - Shravan Rajagopalan (Amb Work notes)
Issue seen on P20 &amp; BTR4 already
</t>
  </si>
  <si>
    <t>mET18 MTBF - CN-00C0   KJDR Closed connection due to read timeout</t>
  </si>
  <si>
    <t xml:space="preserve">2502.3 13:17:24 - Shravan Rajagopalan (Amb Work notes)
Monitor for 2 weeks. Issue still blocked by empty stacktraces
2501.4 08:54:48 - Shravan Rajagopalan (Amb Work notes)
stacktraces empty. Need P840410 to continue investigation
</t>
  </si>
  <si>
    <t>[AJ99] - Lot abort due to RH-98AE - RH Operation Failed</t>
  </si>
  <si>
    <t xml:space="preserve">2502.3 14:08:02 - Shravan Rajagopalan (Amb Work notes)
Investigation on Hold
2452.2 15:27:19 - Shravan Rajagopalan (Amb Work notes)
Wk51: New issue. Intake ongoing
</t>
  </si>
  <si>
    <t>[FDQ only] FDI/FDQ module failure/error leads to long down time</t>
  </si>
  <si>
    <t>HPOU</t>
  </si>
  <si>
    <t>[intake 2450]
wk51.3: FDQ issue RC is related to Hw getting currupt. Hw to be made available end of 25Q1. New Hw to be rolled out Retrofit on failure</t>
  </si>
  <si>
    <t xml:space="preserve">2452.2 14:47:18 - Shravan Rajagopalan (Amb Work notes)
Wk51: Solution planned for 2525
</t>
  </si>
  <si>
    <t>P812029</t>
  </si>
  <si>
    <t xml:space="preserve">[Proto2 . EX04] AWH not correctly aligned with VWH , causing crash from ALR into LL1 seat </t>
  </si>
  <si>
    <t>JQVV</t>
  </si>
  <si>
    <t xml:space="preserve">2452.2 15:42:03 - Shravan Rajagopalan (Amb Work notes)
[intake 2446]
</t>
  </si>
  <si>
    <t>[NXE:3800] Stacktrace is empty for all processes on SCH</t>
  </si>
  <si>
    <t xml:space="preserve">2502.3 13:09:30 - Shravan Rajagopalan (Amb Work notes)
Check with Georgios Dragoumanos and Freedom Nelson if PCS is followed
2502.3 13:06:11 - Shravan Rajagopalan (Amb Work notes)
Check with Freedom Nelson to check with CS on AP being followed
2501.4 08:56:28 - Shravan Rajagopalan (Amb Work notes)
P840643 and P844884 [TSMC hit] are blocked till this solution is available.
2452.2 14:39:10 - Shravan Rajagopalan (Amb Work notes)
wk51.3: Issue related to ASML scripts rolling out to Customer. Solution direction known. "
"Wk50: Intake ongoing
</t>
  </si>
  <si>
    <t>P796736</t>
  </si>
  <si>
    <t>PSDC : Crack in Capacitor on HF MOSFET board causing capacitor to blow up</t>
  </si>
  <si>
    <t xml:space="preserve">2452.2 14:55:07 - Shravan Rajagopalan (Amb Work notes)
wk50.3: Solution to be delivered in wk2521. Comeback wk2506 "
"Wk49. Solution is board redesign. Proto to be tested at supplier 2505
</t>
  </si>
  <si>
    <t xml:space="preserve">[ET18] - RH LL Timeout error RU-093A </t>
  </si>
  <si>
    <t xml:space="preserve">2502.3 14:09:46 - Shravan Rajagopalan (Amb Work notes)
Currently on Hold
2451.3 11:28:45 - Shravan Rajagopalan (Amb Work notes)
Not an MTBFp but it is a u hit
</t>
  </si>
  <si>
    <t>P845802</t>
  </si>
  <si>
    <t>[occurrences = 45] Costumer production lots aborted (+ autorecoverry failure) due to scan concatenation failure PG-48B5 w/ ADJ3 handle_id: 20099996 (PG-4606)</t>
  </si>
  <si>
    <t xml:space="preserve">2503.3 13:39:06 - Isaac Castanedo Guerra (Amb Work notes)
Same diagnostics patch will help to troubleshoot this issue. But not necessarily the same issue.
2452.2 15:47:29 - Shravan Rajagopalan (Amb Work notes)
wk49.3: Investigation ongoingwk49: Intake ongoing
</t>
  </si>
  <si>
    <t>P846924</t>
  </si>
  <si>
    <t xml:space="preserve">[VHV] [mJM14] Wafcar interrupted due to RQ-130A </t>
  </si>
  <si>
    <t xml:space="preserve">2502.3 14:14:53 - Shravan Rajagopalan (Amb Work notes)
Investigation pending
</t>
  </si>
  <si>
    <t>[EXE][NXE 3800] [NXE3600] -ILIAS PARIS sensor  failing on Destination Violation error</t>
  </si>
  <si>
    <t>ZK</t>
  </si>
  <si>
    <t>MAGV</t>
  </si>
  <si>
    <t>[intake 2447]
wk48.5 Test plan available, expecting to test in wk49 (EXE system)</t>
  </si>
  <si>
    <t xml:space="preserve">2502.3 14:23:33 - Shravan Rajagopalan (Amb Work notes)
Pr20 test blocked due to SRC issues ongoing
2452.2 15:44:50 - Shravan Rajagopalan (Amb Work notes)
wk51.3: Working on FW update and tests ongoing with TB. To be tested on Pr2 [EXE]. Follow up on TB results via 9am on Friday
Wk50.3: Pr2 testing needed again due to missing functional traces. Need further support from Reliab and SI to perform future tests 
wk49.3: Still monitoring for hit on EXE Pr2. Tracing added to Pilots as well. 
wk48.3: Issues pulled in and UID being created this week to induce the error. EDEV tool to added to Proto to be discussed with SI 
wk47.3: RC request pulled in to wk48
2447.1 20:00:25 - Shravan Rajagopalan (Amb Work notes)
5 hits related to NXE
2447.1 19:57:39 - Shravan Rajagopalan (Amb Work notes)
8 hits in the last 6 weeks over NXE and EXE combined
Data added via attachment in AIR
</t>
  </si>
  <si>
    <t>P831047</t>
  </si>
  <si>
    <t>[ET18] - Lot aborted by WH-3104</t>
  </si>
  <si>
    <t>[intake 2444]
wk47.2: Consider as new issue. 
wk46.5: WH project to check if this can be linked to already known issue</t>
  </si>
  <si>
    <t xml:space="preserve">2452.2 15:42:41 - Shravan Rajagopalan (Amb Work notes)
[intake 2444]
wk47.2: Consider as new issue. 
wk46.5: WH project to check if this can be linked to already known issue
</t>
  </si>
  <si>
    <t>[Structural Issue] TSMC_HC_RD mET18_SO53004620_CU_OT_Lot aborted by PG-48B4</t>
  </si>
  <si>
    <t xml:space="preserve">2503.3 13:37:15 - Isaac Castanedo Guerra (Amb Work notes)
come back next week 4 to check if diag patch is available
2503.3 13:36:47 - Isaac Castanedo Guerra (Amb Work notes)
Missing scan concatenations during WEX. Investigation is ongoing. Diagnostic patch to be created together with Computer systems. To be installed in proto wk4.
2502.3 14:43:24 - Shravan Rajagopalan (Amb Work notes)
Issue should be transferred to WS due to WEX functionality
</t>
  </si>
  <si>
    <t>P666447</t>
  </si>
  <si>
    <t>MTBF KE-7801 causing a lot abort</t>
  </si>
  <si>
    <t>[intake 24447]</t>
  </si>
  <si>
    <t xml:space="preserve">2502.3 13:23:06 - Shravan Rajagopalan (Amb Work notes)
Follow up on how to gather data for LOT aborts seen on IBS --&gt; SRGC
2502.3 13:18:25 - Shravan Rajagopalan (Amb Work notes)
Better Diagnostics is places for the field. Continue to monitor
2452.2 15:02:14 - Shravan Rajagopalan (Amb Work notes)
wk51.3: Follow up after roll out of Batch 7 to customer
wk49.3: RC still unknown. Diagnostics release in wk51 
wk47.3: RC still unkonwn. Plan to deliver better diagnostics to gather more data
wk47.2: New issue seen on Pi15. PLT data linked to amb work notes
</t>
  </si>
  <si>
    <t>P813759</t>
  </si>
  <si>
    <t>[Pr23] [PSDC] Error (0x00B0) = EXTERNAL ERROR: Configuration communication error</t>
  </si>
  <si>
    <t>[intake 2436]</t>
  </si>
  <si>
    <t>P847707</t>
  </si>
  <si>
    <t>[BTR4/HW28] Carrier handler unlock failed, lot abort does not recover lots</t>
  </si>
  <si>
    <t xml:space="preserve">2502.3 12:05:24 - Shravan Rajagopalan (Amb Work notes)
Autorecovery successful multiple times &gt;5 times
</t>
  </si>
  <si>
    <t>P846436</t>
  </si>
  <si>
    <t>RH-8550 Datastore inconsistent (Ghost Reticle)</t>
  </si>
  <si>
    <t xml:space="preserve">2502.3 14:10:24 - Shravan Rajagopalan (Amb Work notes)
Data still being collected from Local team.
</t>
  </si>
  <si>
    <t>EZ60 - CH unlock/lock and wh driver init fails on PG-6206: Servo Error: fatal position error. Position error=-0.00390747; error window=0.00390625</t>
  </si>
  <si>
    <t>[intake 2437]
wk38.3: Issue not to be seen at Intel anymore. Investigation ongoing if there is also a structural issue
wk37 New hit seen last weekend on Intel. Awaiting intake from D&amp;E</t>
  </si>
  <si>
    <t xml:space="preserve">2452.2 15:42:53 - Shravan Rajagopalan (Amb Work notes)
[intake 2437]
wk38.3: Issue not to be seen at Intel anymore. Investigation ongoing if there is also a structural issue
wk37 New hit seen last weekend on Intel. Awaiting intake from D&amp;E
</t>
  </si>
  <si>
    <t>P840399</t>
  </si>
  <si>
    <t>EVCDMI failed WT-1204 error</t>
  </si>
  <si>
    <t>PETE</t>
  </si>
  <si>
    <t>P838799</t>
  </si>
  <si>
    <t>BTR4 HW28 5H01 - Lot Recovery Started by WP-2C1D  X1:0x8D010001</t>
  </si>
  <si>
    <t xml:space="preserve">2452.2 15:46:43 - Shravan Rajagopalan (Amb Work notes)
wk49.3: Investigation ongoing"
"wk49: Intake ongoing
</t>
  </si>
  <si>
    <t>[ET18] - CN-00C0 - RPMA Timeout (RPAS Timeout)</t>
  </si>
  <si>
    <t xml:space="preserve">2503.3 14:09:05 - Isaac Castanedo Guerra (Amb Work notes)
Alex to link with IBS team on the criticality for 3800
2503.3 14:08:05 - Isaac Castanedo Guerra (Amb Work notes)
Known issue. Leading issue P814183 &amp; P515497.
</t>
  </si>
  <si>
    <t>P819985</t>
  </si>
  <si>
    <t>RS init fails on  MI-FD01: MIGP_CMD_COMMON_status_check(Chuck 1): Caller=MIGP_CMD_MK2_set_initial_value, status=0x0020</t>
  </si>
  <si>
    <t xml:space="preserve">2503.3 14:21:15 - Isaac Castanedo Guerra (Amb Work notes)
No occs seen in the past 2 months. Propose to wait for next week and reassses.
2452.2 15:38:05 - Shravan Rajagopalan (Amb Work notes)
wk49.3: Continue to monitor for 2 weeks on EF systems and then remove if no hits. Re-check if the traces are still in ""Wk41: Need plan for solution
wk48.3: Check if this can be tested in EF still. Comeback in a week
wk47.3: Issue seen on systems after long down or after install. Need help to install these patches on EF or install. SRGC to comeback wk47.4. Issue not 3800 specific wk45.3: RS init failure; SW team requested data and traces were installed on proto machines. - request to EF to also enable traces on Pilots, and keep traces on Protos 
wk46.3:  No hits seen recently. Continue to monitor for hits using ER traces on Pilots and Protos till wk49. SRGC to check with DTOM if traces can be enabled on SK Hynix install
</t>
  </si>
  <si>
    <t>[NXE3800][ET18][SP3814c][ER-0000] ER-0000 QMSX task died unexpectedly due to LOQM busy state.</t>
  </si>
  <si>
    <t>[intake 2448]
wk51.3: P840410 is a pre-requisite for moving forward with your solution. Monitor for hits after P840410 is delivered</t>
  </si>
  <si>
    <t xml:space="preserve">2503.3 14:01:40 - Isaac Castanedo Guerra (Amb Work notes)
Traces to be collected by local team when issue re-occurs.
2452.2 14:59:34 - Shravan Rajagopalan (Amb Work notes)
Wk50: Intake ongoing
</t>
  </si>
  <si>
    <t>P827620</t>
  </si>
  <si>
    <t>[IX60][Pilot 20] Autorecovery triggered by Wafer timeout WH-19F3</t>
  </si>
  <si>
    <t xml:space="preserve">2452.2 15:43:02 - Shravan Rajagopalan (Amb Work notes)
[intake 2442]
</t>
  </si>
  <si>
    <t>[ET18][E100]- DIS-06C2 - DGA Depressurized PR-PRS1 Value drop</t>
  </si>
  <si>
    <t>HOGH</t>
  </si>
  <si>
    <t>P515497</t>
  </si>
  <si>
    <t>[WLT] EOL, RPAS Camera, 4022.438.80031, OV07141-C28A, Omnivision Technologies Inc, LTB: 17-06-2013</t>
  </si>
  <si>
    <t xml:space="preserve">2452.2 15:28:29 - Shravan Rajagopalan (Amb Work notes)
wk50.3: Comeback after new years
wk48.3: Agreed on proposed timeline of 25Q3
wk48: Solution understood. New clarification on solution rollout
</t>
  </si>
  <si>
    <t>Overvoltage - Wafer shifted on SLR after HIPA MMDC error during XWLREU</t>
  </si>
  <si>
    <t>[intake 2430] 
wk42.4: Coverage reduced to 0 since no hits in last 8 weeks
wk41.4: Issue is parent of P804052 which was initially in our ambition list</t>
  </si>
  <si>
    <t xml:space="preserve">2452.2 15:43:11 - Shravan Rajagopalan (Amb Work notes)
[intake 2430] 
wk42.4: Coverage reduced to 0 since no hits in last 8 weeks
wk41.4: Issue is parent of P804052 which was initially in our ambition list
2442.4 10:07:25 - Shravan Rajagopalan (Amb Work notes)
Coverage reduced to 0 since no hits in the last 8 weeks.
</t>
  </si>
  <si>
    <t>P838679</t>
  </si>
  <si>
    <t>[WS EUV MK2] - WafCar fails on BM2BF_POS_RZ_TOO_HIGH_ERROR</t>
  </si>
  <si>
    <t xml:space="preserve">2503.3 14:29:39 - Isaac Castanedo Guerra (Amb Work notes)
Improving the bandwidth of the controller. Testing being done on BTR4. To comeback next week with analysis.
2452.2 15:46:01 - Shravan Rajagopalan (Amb Work notes)
wk50.3: RC investigation ongoing Wk50: Intake ongoing
</t>
  </si>
  <si>
    <t>P846922</t>
  </si>
  <si>
    <t>[VHV][PR20][JM14] RELIAB lot failed on KE-9101</t>
  </si>
  <si>
    <t xml:space="preserve">2503.3 13:14:14 - Isaac Castanedo Guerra (Amb Work notes)
Investigation started. LO project is involved to investigate.
2502.3 13:23:32 - Shravan Rajagopalan (Amb Work notes)
Investigation on going
</t>
  </si>
  <si>
    <t>[intake 2446]
wk50.2: Continue to monitor to ensure solution works
wk49.2: Being investigated and info coming in from LT.</t>
  </si>
  <si>
    <t xml:space="preserve">2452.2 15:43:18 - Shravan Rajagopalan (Amb Work notes)
[intake 2446]
wk50.2: Continue to monitor to ensure solution works
wk49.2: Being investigated and info coming in from LT.
</t>
  </si>
  <si>
    <t>P846925</t>
  </si>
  <si>
    <t xml:space="preserve"> [mJM14] Wafcar interrupted due to LAA-010B trip causing Laser control to go to error state</t>
  </si>
  <si>
    <t xml:space="preserve">2503.3 14:17:40 - Isaac Castanedo Guerra (Amb Work notes)
Comeback Next week if PMA data is available.
2502.5 13:16:17 - Shravan Rajagopalan (Amb Work notes)
To be investigated. Comeback in Reliab carousel
</t>
  </si>
  <si>
    <t>P705629</t>
  </si>
  <si>
    <t>[BTR4] init sometimes fails on DV-001F</t>
  </si>
  <si>
    <t>[intake 2346][coverage 0.02%]
wk39.2: To be investigated by WH team. Among top Inti issue in EXE wk17.2:Propse to remove from Reliab list
wk09.3 | wk10.2 - init team started investigation
wk05.2 | wk06.2 | wk07.2 | wk08.2 - No change  - prio on other item</t>
  </si>
  <si>
    <t xml:space="preserve">2452.2 15:43:23 - Shravan Rajagopalan (Amb Work notes)
[intake 2346][coverage 0.02%]
wk39.2: To be investigated by WH team. Among top Inti issue in EXE wk17.2:Propse to remove from Reliab list
wk09.3 | wk10.2 - init team started investigation
wk05.2 | wk06.2 | wk07.2 | wk08.2 - No change  - prio on other items
wk04.1 - No change  - prio on other items
Wk03.2 - No change  - prio on other items
Wk02.2 - medium issue - prio on other items
wk51.2 - Investigation still ongoing
Wk50.2 - initial check done. Issue transferred to other team in WH. Plan to be madeNot enough data, also seen on old SP. Not accepted yet due to missing details. Monitoring. Stijn: check if there is proper diagnostic data for these instances for init team to investigate.
</t>
  </si>
  <si>
    <t>P827943</t>
  </si>
  <si>
    <t>[Proto23] Wafcar fails on WH-19FC Input of a wafer timed out</t>
  </si>
  <si>
    <t>[intake 2443]
wk46.5: Issue could be linked to known issue. Investigation from Router team ongoing</t>
  </si>
  <si>
    <t xml:space="preserve">2452.2 15:43:32 - Shravan Rajagopalan (Amb Work notes)
[intake 2443]
wk46.5: Issue could be linked to known issue. Investigation from Router team ongoing
</t>
  </si>
  <si>
    <t>P843890</t>
  </si>
  <si>
    <t>WafCar/LOT does NOT time out...waiting for &gt;8 hrs. WX-802A - Unload wafer timed out.</t>
  </si>
  <si>
    <t>[intake 2451]
wk51.1: Auto recovery successful after hit</t>
  </si>
  <si>
    <t xml:space="preserve">2452.2 15:43:35 - Shravan Rajagopalan (Amb Work notes)
[intake 2451]
wk51.1: Auto recovery successful after hit
</t>
  </si>
  <si>
    <t>[ET18] - Run HREUCC suffered CN-00A5 (RUBIAPP) and task died</t>
  </si>
  <si>
    <t>[intake 24447]
wk50.3: Real time tracing added to tool. Monitor for next hit</t>
  </si>
  <si>
    <t xml:space="preserve">2452.2 15:30:24 - Shravan Rajagopalan (Amb Work notes)
wk50.3: Real time tracing added to tool. Monitor for next hit
wk49.3: Data collection to be requested for mET18. Update coverage for only U hits
wk48.3: Collecting more data from machine. Come back start of wk49. 
wk47.3: New issue. To be investigated
</t>
  </si>
  <si>
    <t xml:space="preserve">[CRF Install base] Improve reliab RFG2x6kW MK3.1.1 by new DCPS mosfet </t>
  </si>
  <si>
    <t>[intake 2449]
wk51.3: RFG swap done at TSMC. Why did we need to have 3 LOT aborts before swap is done. Pending follow up from project</t>
  </si>
  <si>
    <t xml:space="preserve">2452.2 14:38:20 - Shravan Rajagopalan (Amb Work notes)
wk49: Solution rollout plan required
</t>
  </si>
  <si>
    <t>P846341</t>
  </si>
  <si>
    <t>|HW28||VHV||NXE| Wafcar autorecovery failed</t>
  </si>
  <si>
    <t>P792702</t>
  </si>
  <si>
    <t>[VHV][NXE][Pr20][mJM14] Wafcar failed on KI-6205 after 3.5 hours</t>
  </si>
  <si>
    <t>[intake 2444]</t>
  </si>
  <si>
    <t xml:space="preserve">2503.1 08:51:49 - Shravan Rajagopalan (Amb Work notes)
System dynamics team now think that we need to check some more data=&gt; AM team and System dynamics team found the data we needed for further investigation from the system
2452.2 14:46:41 - Shravan Rajagopalan (Amb Work notes)
wk46.3: Handshke done, move ownership to SystemDynamics"
wk45.3: Airmounts issue and being picked up by  Sys dynamics - check AIR admin to change PL+project
Wk45: RCA ongoing
</t>
  </si>
  <si>
    <t>P846923</t>
  </si>
  <si>
    <t>[VHV][PR20][JM14] system_start failed after LOT aborted</t>
  </si>
  <si>
    <t xml:space="preserve">2502.3 13:06:47 - Shravan Rajagopalan (Amb Work notes)
Monitor for hit in 2 weeks. Data missing currently
</t>
  </si>
  <si>
    <t>P769419</t>
  </si>
  <si>
    <t xml:space="preserve">[CS Prio - CN]multiple machine suffer PAAC ADC communication error </t>
  </si>
  <si>
    <t>SBZA</t>
  </si>
  <si>
    <t>[EZ60][3800] Persistent DH-08F7 and DH-08FE alarms</t>
  </si>
  <si>
    <t xml:space="preserve">2452.2 15:43:42 - Shravan Rajagopalan (Amb Work notes)
[intake 2449]
</t>
  </si>
  <si>
    <t>P846252</t>
  </si>
  <si>
    <t>[VHV][JM14][Proto20] Autorecovery failed on PG-2553</t>
  </si>
  <si>
    <t xml:space="preserve">2503.3 13:53:26 - Isaac Castanedo Guerra (Amb Work notes)
to monitor and comeback next week wk4
2502.5 11:02:02 - Isaac Castanedo Guerra (Amb Work notes)
POB did a handshake with POB team. Issue to be monitored and follow up next week at carousel and by the end of the week. Alignment with Stephan Kuijpers is done.
2502.3 13:07:51 - Shravan Rajagopalan (Amb Work notes)
Issue to be related POB, expect to transfer after handshake
</t>
  </si>
  <si>
    <t>P847132</t>
  </si>
  <si>
    <t>|BTR4-mHW28| -- Reliab_nq fails on HAVAPGE_EXT_DRV_STS_ERROR</t>
  </si>
  <si>
    <t>P844300</t>
  </si>
  <si>
    <t xml:space="preserve"> OneGui crash: libXcb bug in Centos 6</t>
  </si>
  <si>
    <t>P845851</t>
  </si>
  <si>
    <t>|NXE|VHV|PROTO#20|WP-5809</t>
  </si>
  <si>
    <t xml:space="preserve">2452.2 15:48:36 - Shravan Rajagopalan (Amb Work notes)
Investigation ongoing
</t>
  </si>
  <si>
    <t>P797997</t>
  </si>
  <si>
    <t xml:space="preserve">[Proto20][NXE3800] ETPTNW (scenario 1) lot failed because of  PG-48B4  </t>
  </si>
  <si>
    <t xml:space="preserve">2503.3 13:39:17 - Isaac Castanedo Guerra (Amb Work notes)
Comeback next week with the diag. patch.
</t>
  </si>
  <si>
    <t>P838871</t>
  </si>
  <si>
    <t>[Proto23] Task died DKRGCTLI with system in idle state</t>
  </si>
  <si>
    <t xml:space="preserve">2503.3 14:00:51 - Isaac Castanedo Guerra (Amb Work notes)
Investigation still ongoing. Difficult to find the root cause. - Parallel to investigation is to create a structural way to make a robust function.
2502.3 13:53:51 - Shravan Rajagopalan (Amb Work notes)
Investigation ongoing
</t>
  </si>
  <si>
    <t>P710337</t>
  </si>
  <si>
    <t xml:space="preserve">[NXE-3800][EXE][MMDC][CARM][PG][SPG] Setpoint jump; PG-8C21 (4th order), PG-9509 (6th order); SPG_PROFILE; SPG_PROFILE_6ORDER </t>
  </si>
  <si>
    <t xml:space="preserve">2503.3 13:41:06 - Isaac Castanedo Guerra (Amb Work notes)
Check if needs to be removed or investigation started.
</t>
  </si>
  <si>
    <t>P846509</t>
  </si>
  <si>
    <t xml:space="preserve"> WX-803A  Wafer Recycle Wafer Flow Timeout Timer elapsed for wafer (lot_id = 164, wafer_number = 6)</t>
  </si>
  <si>
    <t>P827625</t>
  </si>
  <si>
    <t>[IX60][Pilot 20]   WH-1CDE 'The driver has an incorrect external state: BUSY'</t>
  </si>
  <si>
    <t>[intake 2442]
wk50.2: Data lost after system in pre-pack 
wk48.5: Could be potentially linked to leading AIR</t>
  </si>
  <si>
    <t>NXE:3800 MTBF Worklist - Closed</t>
  </si>
  <si>
    <t>P846510</t>
  </si>
  <si>
    <t>[BTR4][SCN] reliab_NQ unable to handle transition from one year date to another</t>
  </si>
  <si>
    <t xml:space="preserve">2502.3 13:04:47 - Shravan Rajagopalan (Amb Work notes)
Isaac to follow up with BCOF
</t>
  </si>
  <si>
    <t>P789918</t>
  </si>
  <si>
    <t>[VHV][BTR4] Wafers fail to clear during autorecovery WX-802A</t>
  </si>
  <si>
    <t>P826112</t>
  </si>
  <si>
    <t>[mIX60] pilot20 - Lot abort due to ZF370B during wafcar reliability test</t>
  </si>
  <si>
    <t>P809528</t>
  </si>
  <si>
    <t>Wafer ID not available after resync</t>
  </si>
  <si>
    <t xml:space="preserve">[Intake 2420]
wk39.2: Issue not seen in the last 6 weeks. Remove from list. 
wk38.5: Issue not reproduced in test bench in wk37, recheck impact to see if coverage is still applicable 
wk33.2: Tentative for batch4 for complete solution. Partial delivery </t>
  </si>
  <si>
    <t>MLET times out with WX-802A, TEL in error due to wafer shift on DU</t>
  </si>
  <si>
    <t>P827027</t>
  </si>
  <si>
    <t xml:space="preserve">In high dose (DM&gt;60%) low dose target operation (DT&lt;10mj/pkt) GRIT will over-react and issue OverDose interventions that could lead to repairable dose error </t>
  </si>
  <si>
    <t>[MTBF] RS MMDC PG-4990/RQ-B006 MPAC</t>
  </si>
  <si>
    <t>[wk2440.2]
wk42.3: No hits in recent weeks, still monitoring 
 moved back to WIP ambition list since not solved wi P720720</t>
  </si>
  <si>
    <t>P836763</t>
  </si>
  <si>
    <t xml:space="preserve">[EZ60] - task dies unexpectedly DKRGCTLI </t>
  </si>
  <si>
    <t xml:space="preserve">2452.2 14:59:47 - Shravan Rajagopalan (Amb Work notes)
wk48: Intake ongoing
</t>
  </si>
  <si>
    <t>P827806</t>
  </si>
  <si>
    <t>[proto 20] WAFCAR fails on DL TASC RF generator</t>
  </si>
  <si>
    <t>[intake 2443]</t>
  </si>
  <si>
    <t xml:space="preserve">2452.2 14:37:58 - Shravan Rajagopalan (Amb Work notes)
wk50.3: No updates"
wk45.3: Wafer flow problem; transfer to DL HW project. And keep monitoring Protos and Pilots. 
wk44.3 Error on water flow, transferring to Sergey. Expecting faulty HW sensor
wk43.3 Water flow error in HPSM module 2. System specific. Diagnostics to be check, comeback next week
"Wk43: New issue. Intake ongoing
</t>
  </si>
  <si>
    <t>[ET18] [PAAC] Error (0x0031) = EXTERNAL AMPLIFIER ERROR: Current not balanced between paralleled sections</t>
  </si>
  <si>
    <t>[intake 2446]
wk47.3: RS PAAC is type 5 Monitor this issue since we have many reliable boards in the field already.</t>
  </si>
  <si>
    <t>P833682</t>
  </si>
  <si>
    <t>[VHV] [Proto23-3800] [CG40] -  Driver Droplet Tuning Driver failed to initialize after going back to real light mode due to Tin droplet function controller</t>
  </si>
  <si>
    <t>P846357</t>
  </si>
  <si>
    <t>During Wafcar test, wafers are getting rejected because of wafer alignment errors</t>
  </si>
  <si>
    <t xml:space="preserve">2502.2 14:25:09 - Shravan Rajagopalan (Amb Work notes)
After aligning with Isaac &amp; PE. PE never swapped foups for the different recipes. So wrong wafers are the rootcause of the failing COWA scans, hence AIR aborted
2452.5 13:14:33 - Shravan Rajagopalan (Amb Work notes)
No lot aborts seen during WAFCAR, but many Wafer rejects still
2452.5 13:13:58 - Shravan Rajagopalan (Amb Work notes)
[intake 2452]
</t>
  </si>
  <si>
    <t>P837188</t>
  </si>
  <si>
    <t>Inits failing on WZ-060A - wafer mismatch in atmospheric WH (P787765 issue pre SP19)</t>
  </si>
  <si>
    <t>[intake 2447]
wk48.4: Last hit seen on 12th Nov (SP19). Not seen since SP20 update. Continue to monitor via Reliab EXE/NXE team. 
wk48.2:  P787765 -&gt; still happening after SP19 --&gt; P837188
can software tracing be triggered automatically on this issue? Ho</t>
  </si>
  <si>
    <t>P826019</t>
  </si>
  <si>
    <t>|Proto20| |VHV| |mJM14| |SRC| PA and TRUC signals need to be added to safety logging in Trumpf DL SW</t>
  </si>
  <si>
    <t xml:space="preserve">[Pr20][SCN] LZ-2028 error is occuring very often </t>
  </si>
  <si>
    <t>P838802</t>
  </si>
  <si>
    <t>BTR4 HW28 5H01 - Lot Recovery triggered by  WP-2C1D X1:0x84010043</t>
  </si>
  <si>
    <t>PDRS functionality, TIS gain implementation in software is not OK, leading to potential false pellicle ruptures for aPSM customer reticles.</t>
  </si>
  <si>
    <t>IS</t>
  </si>
  <si>
    <t>JKBC</t>
  </si>
  <si>
    <t>[intake 2435]
Wk36.3: Containtmet in place for pilot2. No more hits ince. Check with local team. If ok No 9k needed, juts deliver in SP38.</t>
  </si>
  <si>
    <t>WS terminate sequence leads to LoS collisions with CP/EoS</t>
  </si>
  <si>
    <t>[BTR4] WAFCAR failed on OO-000B 'Lost connection detected in handler function'</t>
  </si>
  <si>
    <t>[Intake 2419][status g]
wk20.4 Aborted, to be cashed wk21</t>
  </si>
  <si>
    <t>P808284</t>
  </si>
  <si>
    <t>|mJM14| |NXE3800| |Proto20| "Clear all function" failed on WH-4CAA</t>
  </si>
  <si>
    <t>[intake 2440]
wk46.2: Most likely no Sw delivery needed.  Could be Seq related</t>
  </si>
  <si>
    <t>[MTBF] IS-1363 SW hiccup</t>
  </si>
  <si>
    <t>New issue Wk 37: Problem stage open
wk37.3: No data available since tdf is lost after 1 week of hit</t>
  </si>
  <si>
    <t>NXE:3800E - Industrialization - NXE:3800E - XLD</t>
  </si>
  <si>
    <t xml:space="preserve">2440.4 10:34:49 - Shravan Rajagopalan (Amb Work notes)
Coverage reduced to 0.02 since majority of gains are in Diag improvement --&gt; P810830
2440.2 21:26:06 - Shravan Rajagopalan (Amb Work notes)
Total DT = 30hrs
Av improvement via reduced freq of occurence
Freq assumed to be 1/yr due to limited data but improvement in freq is 80% based on input from KW project 
Total Av impact = 30*1*0.8 = 24hrs
</t>
  </si>
  <si>
    <t>P820927</t>
  </si>
  <si>
    <t>Reduce SUR vertical take over speed for load lock transfers</t>
  </si>
  <si>
    <t xml:space="preserve">2440.2 21:10:40 - Shravan Rajagopalan (Amb Work notes)
Coverage added to leading leading AIR P820756 which has 120hrs. AIR is containment for PWP issue seen at Intel
</t>
  </si>
  <si>
    <t>P817500</t>
  </si>
  <si>
    <t>[wk2433] [mEZ60] [SO52896788] NXE:3800 XLD: WH CH VSO Z-Interlock</t>
  </si>
  <si>
    <t>wk39: Carousel wk39.4</t>
  </si>
  <si>
    <t xml:space="preserve">2440.2 21:33:29 - Shravan Rajagopalan (Amb Work notes)
Solution via leading AIR P819029. Not linked in AIR, but feedback from WH project received
</t>
  </si>
  <si>
    <t>P816813</t>
  </si>
  <si>
    <t>Diagnostics SIOB to Torque Compensator unclear (Common Mode Voltage Spike issue)</t>
  </si>
  <si>
    <t>JKUZ</t>
  </si>
  <si>
    <t>2.00</t>
  </si>
  <si>
    <t xml:space="preserve">2440.5 16:11:31 - Shravan Rajagopalan (Amb Work notes)
Total DT = 17hrs
Av improvement from solution = 2 hrs based on time to be gained by better Diagnostics
Freq assumed to be 1/yr due to limited data
Total Av impact = 2*1 = 2 hrs/sys/yr
</t>
  </si>
  <si>
    <t>P825237</t>
  </si>
  <si>
    <t>Fast recovery is required in PG-6206 DDF</t>
  </si>
  <si>
    <t>3.00</t>
  </si>
  <si>
    <t xml:space="preserve">2442.3 17:26:22 - Shravan Rajagopalan (Amb Work notes)
Issue occurred once in field 52920967
Total DT = 12hrs
DDF to solve 3 hrs (remaining 9hrs to be solved via structural solution [P714490]  and CPD improvements[P657997] )
Total Av improvement = 3hrs * 1/yr = 3 hrs/sys/yr
</t>
  </si>
  <si>
    <t>P606268</t>
  </si>
  <si>
    <t>Solve Carrier Handler Cover Volume conflicts + Introduce as tool for factory &amp; field</t>
  </si>
  <si>
    <t>4.00</t>
  </si>
  <si>
    <t>wk13.4 Changed cover seems to work, new item is beeing created by modelshop  . (Not a field issue)
wk11.3 Fabian is taking 1 cover to modelshop
wk11.1 KDUU / DTOM / JQVV to review
wk09.1 - Reocurred on pr20 - Jens is getting prio higher at VDL to speed up</t>
  </si>
  <si>
    <t xml:space="preserve">2442.3 16:45:42 - Shravan Rajagopalan (Amb Work notes)
Issue occurred once in field 52896788
Total DT = 11hrs
DDF to solve 4hrs (remaining 7hrs via structural solution P823638)
Total Av improvement = 4hrs * 1/yr = 4 hrs/sys/yr
</t>
  </si>
  <si>
    <t>[XLD][3800- AJ99]TC2BF_Z2 TC2BF_ACC_CM_VOLT_TOO_HIGH_ERROR</t>
  </si>
  <si>
    <t>BM</t>
  </si>
  <si>
    <t>STRK</t>
  </si>
  <si>
    <t>5.00</t>
  </si>
  <si>
    <t xml:space="preserve">2442.3 17:31:36 - Shravan Rajagopalan (Amb Work notes)
Issue occurred once in field 52921451
Total DT = 17hrs
Structural solution to solve 5hrs (remaining 12hrs to be solved via DDF implementation via P816813 &amp; P816810)
Total Av improvement = 5hrs * 1/yr = 5 hrs/sys/yr
</t>
  </si>
  <si>
    <t>P714490</t>
  </si>
  <si>
    <t>[MVP] CH unlock/lock and wh driver init fails on PG-6026: Servo error: fatal position error. Position error=-0.00390747; error window=0.00390625</t>
  </si>
  <si>
    <t>6.00</t>
  </si>
  <si>
    <t xml:space="preserve">2442.3 17:28:18 - Shravan Rajagopalan (Amb Work notes)
Issue occurred once in field 52920967
Total DT = 12hrs
Structural solution to solve 6 hrs (remaining 3hrs to be solved via DDF [P825237 ] and 3hrs via CPD improvements[P657997] )
Total Av improvement = 6hrs * 1/yr = 6 hrs/sys/yr
</t>
  </si>
  <si>
    <t>P819965</t>
  </si>
  <si>
    <t>Lot and auto-recovery failure with WH-4CAA 'Track door closed unexpect'</t>
  </si>
  <si>
    <t>P709982</t>
  </si>
  <si>
    <t>startup drivers fails on: MG-2E0F send_command:Communication error with MC EIAR_MC1 semaphore take timeout=5000 or FM-030D An HSSL timeout occured</t>
  </si>
  <si>
    <t xml:space="preserve">2446.5 13:54:14 - Shravan Rajagopalan (Amb Work notes)
Total DT = 6 [wk2430- wk2446]
Lost time on SO 52961288 
Time stamp inconsistency in AVP, but 6 hrs DT on this issue based on 3800 MTBF  file
</t>
  </si>
  <si>
    <t>P798867</t>
  </si>
  <si>
    <t>HIPA MTTD improvement needed</t>
  </si>
  <si>
    <t xml:space="preserve">2440.2 21:46:57 - Shravan Rajagopalan (Amb Work notes)
Total DT = 14hrs
Av improvement from solution = 6 hrs based on time lost to Diagnostics
Freq assumed to be 1/yr due to limited data
Total Av impact = 6*1 = 6 hrs/sys/yr
</t>
  </si>
  <si>
    <t>P816006</t>
  </si>
  <si>
    <t>[XLD 6.6hr/s/yr LH 5hr/s/yr] Zero Sensor Drift : SW development for FC-065 (Metro)</t>
  </si>
  <si>
    <t>6.60</t>
  </si>
  <si>
    <t>P823638</t>
  </si>
  <si>
    <t>FOUP locking fails due to CH lift Z fatal position error (PG-6206) after SD</t>
  </si>
  <si>
    <t>7.00</t>
  </si>
  <si>
    <t xml:space="preserve">2442.3 16:43:04 - Shravan Rajagopalan (Amb Work notes)
Issue occurred once in field 52896788
Total DT = 11hrs
Structural solution to solve 7hrs (remaining 4hrs to be solved via DDF implementation via P814524 --&gt; P606268)
Total Av improvement = 7hrs * 1/yr = 7 hrs/sys/yr
</t>
  </si>
  <si>
    <t>P816810</t>
  </si>
  <si>
    <t>Create DDF for error code (TC2BF_ACC_CM_VOLT_TOO_HIGH_ERROR)</t>
  </si>
  <si>
    <t>10.00</t>
  </si>
  <si>
    <t xml:space="preserve">2440.5 16:10:20 - Shravan Rajagopalan (Amb Work notes)
Total DT = 17hrs
Av improvement from solution = 10 hrs based on time lost to Diagnostics
Freq assumed to be 1/yr due to limited data
Total Av impact = 10*1 = 10 hrs/sys/yr
</t>
  </si>
  <si>
    <t>P819029</t>
  </si>
  <si>
    <t>CH lock/unlock fails on PG-6206: Servo Error: fatal position error. Position error=-0.00390747; error window=0.00390625 on multiple systems</t>
  </si>
  <si>
    <t>11.00</t>
  </si>
  <si>
    <t xml:space="preserve">2440.2 21:35:40 - Shravan Rajagopalan (Amb Work notes)
Investigation ongoing if redesign of CH is needed or consider to be incident. 
Total DT = 11hrs
Freq assumed to be 1/yr due to limited data
Total Av impact = 11*1 = 11 hrs/sys/yr
</t>
  </si>
  <si>
    <t>P817497</t>
  </si>
  <si>
    <t>NXE:3800 XLD: RH LDLK Issue caused H2-N2</t>
  </si>
  <si>
    <t>wk39: Missing SPS</t>
  </si>
  <si>
    <t xml:space="preserve">2442.3 16:58:54 - Shravan Rajagopalan (Amb Work notes)
Total DT = 22hrs
Av improvement from solution = 11hrs based on structural solution (remaining 11hrs via Diag improvement with P817133 )
Freq assumed to be 1/yr due to limited data
Total Av impact = 11*1 = 11 hrs/sys/yr
</t>
  </si>
  <si>
    <t>P817133</t>
  </si>
  <si>
    <t>No DDF possible for System Alarm: DH-F081</t>
  </si>
  <si>
    <t xml:space="preserve">2440.2 21:39:51 - Shravan Rajagopalan (Amb Work notes)
Total DT = 22hrs
Av improvement from solution = 11hrs based on time lost to Diagnostics
Freq assumed to be 1/yr due to limited data
Total Av impact = 11*1 = 11 hrs/sys/yr
</t>
  </si>
  <si>
    <t>P819187</t>
  </si>
  <si>
    <t>Wafer reject with KG-0205 due to incorrect SLCF update</t>
  </si>
  <si>
    <t>12.00</t>
  </si>
  <si>
    <t xml:space="preserve">2443.1 13:57:54 - Murat Kurukafa (Amb Work notes)
This AIR is linked as in improvement to XLD: OCC 26335003
For RCA, data when the issue re-occurs needs to be provided to D&amp;E. Monitor the issues for 4-6 weeks, if this occurs again, discuss with FC what is the way forward.
Coverage at this time is estimated as 12 hours, as it was shown in the AVP. Needs to be re-evaluated if this doesn't happen again.
</t>
  </si>
  <si>
    <t>P810830</t>
  </si>
  <si>
    <t>Request OCAP/fishbone for ews197.dia CHECK IF WS IS ERROR FREE (WS EUV MK2)</t>
  </si>
  <si>
    <t>13.00</t>
  </si>
  <si>
    <t xml:space="preserve">2440.4 10:37:09 - Shravan Rajagopalan (Amb Work notes)
Total DT = 30hrs
Av improvement via improved diagnostics = 13
Freq assumed to be 1/yr due to limited data 
Total Av impact = 13*1 = 13hrs
</t>
  </si>
  <si>
    <t>P796767</t>
  </si>
  <si>
    <t>PSDC : Driver fail on HF MOSFET board</t>
  </si>
  <si>
    <t xml:space="preserve">2450.4 09:16:16 - Shravan Rajagopalan (Amb Work notes)
Solution connected to P796736, both are related to PSDC board failure and P796736 is followed up via Reliab carousel
</t>
  </si>
  <si>
    <t>14.00</t>
  </si>
  <si>
    <t xml:space="preserve">2444.3 16:13:11 - Shravan Rajagopalan (Amb Work notes)
Solution delivered 3 weeks after XLD occurred.
</t>
  </si>
  <si>
    <t>[Proto 20] AWH track hatch will not stay open</t>
  </si>
  <si>
    <t>15.00</t>
  </si>
  <si>
    <t xml:space="preserve">2442.3 16:35:35 - Shravan Rajagopalan (Amb Work notes)
Issue occurred once in field 52891345
Total DT = 30hrs 
Structural solution to solve 10hrs (remaining 20hrs to be solved via DDF implementation via P808198)
Total Av improvement = 10hrs * 1/yr = 10hrs/sys/yr
</t>
  </si>
  <si>
    <t>18.50</t>
  </si>
  <si>
    <t xml:space="preserve">2446.4 15:04:26 - Shravan Rajagopalan (Amb Work notes)
Total DT = 18.5 hrs [wk2430-2446]
DT related to SO - 52900169 &amp; P800748
</t>
  </si>
  <si>
    <t>Missing DDF for DH-F041 error - Coverpanel interlock NOK</t>
  </si>
  <si>
    <t>19.00</t>
  </si>
  <si>
    <t>MEQ</t>
  </si>
  <si>
    <t xml:space="preserve">2440.2 21:17:36 - Shravan Rajagopalan (Amb Work notes)
Total DT = 30hrs
Av improvement from solution = 19hrs based on time lost to Diagnostics 
Freq assumed to be 1/yr due to limited data
Total Av impact = 19*1 = 19 hrs/sys/yr
</t>
  </si>
  <si>
    <t>20.00</t>
  </si>
  <si>
    <t xml:space="preserve">2442.3 17:52:45 - Shravan Rajagopalan (Amb Work notes)
Issue occurred once in field 52909531
Total DT = 20hrs
Structural solution to solve 20hrs 
Total Av improvement = 20hrs * 1/yr = 20hrs/sys/yr
</t>
  </si>
  <si>
    <t>P820756</t>
  </si>
  <si>
    <t>Enable capability to reduce SUR clamp voltage</t>
  </si>
  <si>
    <t>120.00</t>
  </si>
  <si>
    <t xml:space="preserve">2440.4 10:13:29 - Shravan Rajagopalan (Amb Work notes)
Coverage in child AIR P820927 0.02
2440.2 21:08:44 - Shravan Rajagopalan (Amb Work notes)
Issue related to reducing PWP impact seen at Intel
Total DT = 120hrs 
Freq assumed to be 1/yr due to limited data 
Total Av impact = 120*1 = 120hrs/sys/yr
</t>
  </si>
  <si>
    <t>P845428</t>
  </si>
  <si>
    <t>E-pin height &amp; tilt NOK (PWETM2)</t>
  </si>
  <si>
    <t>P845454</t>
  </si>
  <si>
    <t>[Structural issue] WH HSAF PSU_RLY status BLUE</t>
  </si>
  <si>
    <t>P834586</t>
  </si>
  <si>
    <t>Current sequence need to swap LLGV gate + actuator, but LLGV gate should be able to replaced independenty</t>
  </si>
  <si>
    <t>P845460</t>
  </si>
  <si>
    <t>[FAR] WTC stone defect with black stain</t>
  </si>
  <si>
    <t>P817827</t>
  </si>
  <si>
    <t>NXE:3800 XLD: PWP OOS for Sio Particles</t>
  </si>
  <si>
    <t>wk39: Ongoing</t>
  </si>
  <si>
    <t>ET18 - XLD - SUR X5 connection disconnected too easily, causing PG-6206 errors</t>
  </si>
  <si>
    <t>P845044</t>
  </si>
  <si>
    <t>Current DDF/OCAP/Fishbone for CPD PWWHM2 NOK is not comprehensive enough and it caused an XLD to diagnose during the recovery of another XXLD issue</t>
  </si>
  <si>
    <t>P845453</t>
  </si>
  <si>
    <t>[SMIX, KT or Diag. method needed] WS SHB PLC XLD issue</t>
  </si>
  <si>
    <t>P845437</t>
  </si>
  <si>
    <t>[FAR] E-pin coil encoder assy_DOA</t>
  </si>
  <si>
    <t xml:space="preserve">2451.3 13:52:50 - Shravan Rajagopalan (Amb Work notes)
Issue related to 23 hrs Down XLD. FDQ issue RC is related to Hw getting currupt. Hw to be made available end of 25Q1. New Hw to be rolled out Retrofit on failure
</t>
  </si>
  <si>
    <t>P809010</t>
  </si>
  <si>
    <t>CQNL_2433_CC004251 Vacuum Wafer Handler SLR &amp; SUR End Effectors silicone oxide particles @ 10k wafer passes</t>
  </si>
  <si>
    <t>P845458</t>
  </si>
  <si>
    <t>[SMIX improve] E-pin yoke, coil diagnostic</t>
  </si>
  <si>
    <t>During the EPIN YOKE Swap, Found the short bolt on LOS Assy nearby Z3 Coil</t>
  </si>
  <si>
    <t>P812879</t>
  </si>
  <si>
    <t xml:space="preserve">[Proto 20][mJM14] Multiple Lot Aborts during reliability testing on error RQ-B006 </t>
  </si>
  <si>
    <t>[intake 2435]
wk38.3: Error gone after Hw swap. FAR requested and waiting for part to arrive</t>
  </si>
  <si>
    <t>P824036</t>
  </si>
  <si>
    <t>Improve SMIX of WBPC test for NXE3800</t>
  </si>
  <si>
    <t>GREC</t>
  </si>
  <si>
    <t>P814524</t>
  </si>
  <si>
    <t>Investigate if PG-6206 Error Has a Relevant DDF</t>
  </si>
  <si>
    <t>P843717</t>
  </si>
  <si>
    <t>NXE Pi4(AJ99): 'Clear All' not working as WH is not intialized because of WS issue</t>
  </si>
  <si>
    <t>P822929</t>
  </si>
  <si>
    <t>Wafer back side contamination is not linked between AWH TSU and Wafer Table</t>
  </si>
  <si>
    <t>P657997</t>
  </si>
  <si>
    <t>PWP OCAP CPD late for NXE3800</t>
  </si>
  <si>
    <t>P828316</t>
  </si>
  <si>
    <t>EWAD ADT can still be opened on 3800 and 5000 systems</t>
  </si>
  <si>
    <t>P740007</t>
  </si>
  <si>
    <t>[E100][TRUMPF SW] SW v04.03.00 install failure - Unable to update HPDLM_SC3, SC4, SC5 due to wrong password</t>
  </si>
  <si>
    <t>P845447</t>
  </si>
  <si>
    <t>[FAR] WMSR defect_I/O red issue(HSAF_PSU_State_RLY read)</t>
  </si>
  <si>
    <t>P843084</t>
  </si>
  <si>
    <t>WSL - loose bolt (long bolt) from EPIN Yoke Assy: EP2LOS: EP_NOT_DOWN_WHILE_LARA_NOT_INITIALIZED_ERROR</t>
  </si>
  <si>
    <t>P829464</t>
  </si>
  <si>
    <t>Mismatch between XWAD (WH ADT) and trace data - SUR Z Position</t>
  </si>
  <si>
    <t>P679670</t>
  </si>
  <si>
    <t>Request for CPD for wafer defectivity qualification in NXE3800</t>
  </si>
  <si>
    <t>[intake 2439]
Leading isssue, was tracking P808668</t>
  </si>
  <si>
    <t>P828952</t>
  </si>
  <si>
    <t>ET18 - WH init goes OK while SUR cannot move in Z</t>
  </si>
  <si>
    <t>P821213</t>
  </si>
  <si>
    <t>[E100][TRUMPF SW]  iPLM calibration NOK after SW install</t>
  </si>
  <si>
    <t>P773916</t>
  </si>
  <si>
    <t>[XLD EZ60] Very small AlO particles (&lt; 50 nm) measured in wafer frontside in multiple  NXE:3800/EXE:5000 defectivity tests during integration and qualification</t>
  </si>
  <si>
    <t>CT</t>
  </si>
  <si>
    <t>P729509</t>
  </si>
  <si>
    <t>PWP OCAP coach procedure NXE3800</t>
  </si>
  <si>
    <t>P845459</t>
  </si>
  <si>
    <t>[Workmanship]BM homing failed due to BM fix tool, preventive item.</t>
  </si>
  <si>
    <t>P815588</t>
  </si>
  <si>
    <t>[OO-000B] [[S2:ULUN; T1:ULUM; ]] Connection lost for function/event 'local_fcn_handler_SMXAxDC_initialize' and with server 'ULUN'</t>
  </si>
  <si>
    <t>wk40: Frank to contact with initiator for AIR details. What is the goal of this AIR ?
wk40: Check with Dieter regarding to SW AIR's WoW (Arun &amp; Hakan)
wk39: Frank to ask Dieter for AIR details.</t>
  </si>
  <si>
    <t>Proto Uptime Issues EXE/NXE - INIT - 3 - WIP - Driver level init failures</t>
  </si>
  <si>
    <t xml:space="preserve">2452.2 15:39:43 - Shravan Rajagopalan (Amb Work notes)
Wk49: Intake ongoing
</t>
  </si>
  <si>
    <t>P784955</t>
  </si>
  <si>
    <t>[VHV][BTR5] After failed lot start up drivers fails on WH-D188</t>
  </si>
  <si>
    <t>P711830</t>
  </si>
  <si>
    <t>WH init MMDC error WZ-0D04 BF_BB_LR: BRAKE_UNEXPECTED_DETECTED</t>
  </si>
  <si>
    <t>[intake 2416]</t>
  </si>
  <si>
    <t xml:space="preserve">2452.2 15:41:25 - Shravan Rajagopalan (Amb Work notes)
[intake 2416]
</t>
  </si>
  <si>
    <t>P751021</t>
  </si>
  <si>
    <t>RQ-8015] timeout = 30.000000 [[RQSV]RQSV_adj_wait_for_chk_ready_internal:RQSV_ERR_PG_CHK_READY_TIMEOUT]</t>
  </si>
  <si>
    <t xml:space="preserve">2452.2 15:31:58 - Shravan Rajagopalan (Amb Work notes)
wk50.3: Currently on Hold and check back on Prio in wk2503
wk49.3: RC investigation still ongoing
Wk49: Intake ongoing
</t>
  </si>
  <si>
    <t>P815571</t>
  </si>
  <si>
    <t>[PG-4805] Servogroup "WZPHxHEAT:WZPHxHEAT", block group "Actuator" cannot be switched OFF because the queue detected an error event</t>
  </si>
  <si>
    <t>P815296</t>
  </si>
  <si>
    <t>RU-0771 init issues during SQ</t>
  </si>
  <si>
    <t xml:space="preserve">2452.2 15:27:42 - Shravan Rajagopalan (Amb Work notes)
wk49.3: Need to follow up to collect data from the Pilot systems on ISR"
"Wk49: Intake ongoing
</t>
  </si>
  <si>
    <t>P778930</t>
  </si>
  <si>
    <t>[BTR4] Startup drivers fails on WZ-0D04 WH MMDC (SIOB toggle error)</t>
  </si>
  <si>
    <t>[intake 2420]</t>
  </si>
  <si>
    <t>P839828</t>
  </si>
  <si>
    <t>[VHV][Pr20] Projection driver failed on CV-1A52 CVDR_SEIB_HW_set_control_state failed on an illegal state change request after system start</t>
  </si>
  <si>
    <t xml:space="preserve">2452.2 15:12:46 - Shravan Rajagopalan (Amb Work notes)
Wk51: Solved in batch 7
</t>
  </si>
  <si>
    <t>P846465</t>
  </si>
  <si>
    <t>[VDH][Proto23] Projection driver failed on PX-2819</t>
  </si>
  <si>
    <t>MID reject</t>
  </si>
  <si>
    <t xml:space="preserve">2503.1 10:52:19 - Shravan Rajagopalan (Amb Work notes)
Added to Amb list after discussing with Robert van den Broek
</t>
  </si>
  <si>
    <t>P733535</t>
  </si>
  <si>
    <t>[proto1] startup drivers fails on WX-2AD1:Process failed. Aborting   Failed to close valve</t>
  </si>
  <si>
    <t>0.25</t>
  </si>
  <si>
    <t>[intake 2412]
wk13.1 Added to INIT as new item</t>
  </si>
  <si>
    <t xml:space="preserve">2452.2 15:40:23 - Shravan Rajagopalan (Amb Work notes)
[intake 2412]
wk13.1 Added to INIT as new item
</t>
  </si>
  <si>
    <t>[CN-00AF] [[S2:CGMA_wafhnd; T1:CVMA_WAFHND; H2:wh.localdomain; ]] Server 'CGMA_wafhnd' not resolved</t>
  </si>
  <si>
    <t>P727574</t>
  </si>
  <si>
    <t xml:space="preserve">|Proto1||VHV| During prep for reticle cycling RUIP driver fails </t>
  </si>
  <si>
    <t>SISR</t>
  </si>
  <si>
    <t>0.50</t>
  </si>
  <si>
    <t>P715264</t>
  </si>
  <si>
    <t>[BTR4] Error Logging Pollution DH-4809, sometimes leading to driver startup failing</t>
  </si>
  <si>
    <t>0.75</t>
  </si>
  <si>
    <t xml:space="preserve">2452.2 14:47:03 - Shravan Rajagopalan (Amb Work notes)
wk49: Solution plan ongoing
</t>
  </si>
  <si>
    <t>P813994</t>
  </si>
  <si>
    <t>Init RH fails on RQ-9003: Current Init/Term/Error State= RQCVFS_TERM_STATE, expect=RQCVFS_INIT_STATE</t>
  </si>
  <si>
    <t>1.00</t>
  </si>
  <si>
    <t>P837913</t>
  </si>
  <si>
    <t>Init fails on WX-2100 on multiple systems</t>
  </si>
  <si>
    <t>P815079</t>
  </si>
  <si>
    <t>[PX-2816] Mirror x, Encoder_x, unexpected calibration state error (running = TRUE))</t>
  </si>
  <si>
    <t>1.50</t>
  </si>
  <si>
    <t>MID reject
[intake 2436]
wk38.3 Waiting for intake</t>
  </si>
  <si>
    <t xml:space="preserve">2452.2 15:19:55 - Shravan Rajagopalan (Amb Work notes)
wk50.3: SRGC to check with SPM team on picking up this issue"
wk49.3: RC investigation still ongoing. Friday 9am 
"Wk49: Intake ongoing
</t>
  </si>
  <si>
    <t>P706342</t>
  </si>
  <si>
    <t>[SF][ML/QBL] Feature request: Grouped reset - done at rack level and reset information available in SSRR GUI (MVP2)</t>
  </si>
  <si>
    <t>PVAU</t>
  </si>
  <si>
    <t>[intake 2402]
Solution only in 25Q1, push to batch x
39.3: Solution to be delivered in phases. Ph1 - P818936 (Leading P706342) &amp; P772491</t>
  </si>
  <si>
    <t xml:space="preserve">2452.2 14:40:03 - Shravan Rajagopalan (Amb Work notes)
wk51.3: On track for delivery for wk2511.5""R date needs to be updated to wk39 to make Batch 4
wk49.3: MVP1 is delivered in SP40. Rest is on track 
wk46.3: Plan for grouped reset MVP1 (P818936 + P772491) bcame wk49. Still same SP. The MVP2 (P706342) is still 2511.5
wk45.3: Plan to be delivered in wk47.4 to QBL to be delivered in SP40
wk40.3: Phased delivery. Ph1 (P818936+P772491); Ph2 planned up till wk2505 
wk36.3: Check in if on track wk2440.
Original delivery plan 24Q4. Delaying to 25Q1 (basic functionality) with final delivery 25Q2. Only intended for proto integration, not for field.
Remove from batch 4.
</t>
  </si>
  <si>
    <t>P841959</t>
  </si>
  <si>
    <t>3800 POB init fails on CV-1A6A;  CVDR_SEIB_HW_switch_SEBX_PSU_with_yield failed on a timeout.</t>
  </si>
  <si>
    <t>1.75</t>
  </si>
  <si>
    <t xml:space="preserve">2452.2 15:23:21 - Shravan Rajagopalan (Amb Work notes)
Wk51: New issue. Intake ongoing
</t>
  </si>
  <si>
    <t>P818641</t>
  </si>
  <si>
    <t>[UL-B468] The PF/MM2 Heater safety relays are tripped.</t>
  </si>
  <si>
    <t>IL</t>
  </si>
  <si>
    <t>AYAQ</t>
  </si>
  <si>
    <t>wk41 : to be checked with Luca 
wk40: Frank to contact with initiator for AIR details. What is the goal of this AIR ?
wk40: Check with Dieter regarding to SW AIR's WoW (Arun &amp; Hakan)
wk39: Frank to ask Dieter for AIR details.</t>
  </si>
  <si>
    <t xml:space="preserve">2452.2 14:49:37 - Shravan Rajagopalan (Amb Work notes)
"Wk49: Intake complete. RCA ongoing
wk49.3: Hits mainly seen on Pr15. Not seen in the recent past."
</t>
  </si>
  <si>
    <t xml:space="preserve">2452.2 15:43:38 - Shravan Rajagopalan (Amb Work notes)
[intake 2408]
wk50.2: Re-check if this issue is still seen recently? Could be system specific
wk48.5: Investigation still pending due to TPT issues taking prio
wk48.2: Investigation to be done in wk49. Comback on wk50
wk38.3: Check with Shreya on latest hits
</t>
  </si>
  <si>
    <t xml:space="preserve">2452.2 14:52:43 - Shravan Rajagopalan (Amb Work notes)
wk50.3: HOI wk2506 still on track "
wk48.3: HSI likely to be delivered to WS in wk51. Containment to be HOI wk2506
"wk40: PLL Lock issue, BTR4 testtime required. Potentially delivery plan in 2wks. Confirm planning wk41.3
wk41.3 Moved to init successrate. Potentially in next HSI
wk42.3 Not solved on BTR4, data gathering ongoing
wk43.3: Investigation ongoing to determine if issues is KW or CARM via tests on BTR 
wk44.3 Seems to happen during terminate, not during production. Low prio as its not MTBFp - follow-up by Jeroen with CARM
wk46.3: Issue could not be reproduced on BTR/Pr. RC likely to be CARM unstability. To be contained via longer timeout wait time during initialization &amp; shutdown.
wk47.3: CARM and KW to work together on findings and comeback on a way forward
</t>
  </si>
  <si>
    <t>PXRGS Init fail on CG-A34D: cghpxhc_tcp_cl_recv_timeout timeout after 4 seconds on socket 20 []</t>
  </si>
  <si>
    <t>2.50</t>
  </si>
  <si>
    <t xml:space="preserve">2452.2 15:24:54 - Shravan Rajagopalan (Amb Work notes)
wk50.3: Comeback on way forward in 9am 
wk49.3: RC investigation still ongoing. Friday 9am 
Wk49: Intake ongoing
</t>
  </si>
  <si>
    <t>P839544</t>
  </si>
  <si>
    <t>[CR51] CARM init failure after SP20 install</t>
  </si>
  <si>
    <t>3.50</t>
  </si>
  <si>
    <t>P768405</t>
  </si>
  <si>
    <t>[JM14/PR20] Init drivers failed with PX-281C</t>
  </si>
  <si>
    <t>6.25</t>
  </si>
  <si>
    <t>wk2 : SW team to test on testrig
wk46 : FAilure frequency is in the ppt . Looks like related with Init issue , not laser , need investigation. 
wk44 : keep on hold to collect more data
wk44.2: DE proposal is to reject (check with team)</t>
  </si>
  <si>
    <t xml:space="preserve">2502.3 13:42:02 - Shravan Rajagopalan (Amb Work notes)
Continue to monitor due to low hitrate on Pr23
2452.2 15:25:32 - Shravan Rajagopalan (Amb Work notes)
wk50.3: No high prio 
Wk49.3: Comeback Friday 9am 
wk49: Solution plan ongoing.
</t>
  </si>
  <si>
    <t>P837792</t>
  </si>
  <si>
    <t>|NXE3800|VHV|PROTO#20|JM14| Init drivers failed on DV-0047: The channel IM_POB_SEIB_M3.ETT_ENC_MGS_02.4.ERROR indicates an error.</t>
  </si>
  <si>
    <t>11.75</t>
  </si>
  <si>
    <t>MID accept</t>
  </si>
  <si>
    <t xml:space="preserve">2502.3 13:40:09 - Shravan Rajagopalan (Amb Work notes)
under investigation
2452.2 15:21:00 - Shravan Rajagopalan (Amb Work notes)
Wk51: New issue. Intake ongoing
</t>
  </si>
  <si>
    <t xml:space="preserve">2502.5 14:38:35 - Shravan Rajagopalan (Amb Work notes)
High hitter seen on Pr 23 after SP39 install. Need structural follow up ASAP
</t>
  </si>
  <si>
    <t>[Intel][RS] Online PF Residual out of limits due to SS dynamics link drift</t>
  </si>
  <si>
    <t>P821739</t>
  </si>
  <si>
    <t>P821739 - EQZCMI fails on ILIAS logical action timeout CN-00C0</t>
  </si>
  <si>
    <t>P839414 - ZF-4392 Communication failure on GY86, Exception handling needed.</t>
  </si>
  <si>
    <t>P754890</t>
  </si>
  <si>
    <t>P754890 - |GT69| |VHV| |EXE| RQ-9002 'To precondition error' 'Clamp attempted when reticle not pre</t>
  </si>
  <si>
    <t>P820381 - |Proto2| |VHV| |mEX04| Lot Abort Due to DW-56C6 Real Time Sensor Link communication with D</t>
  </si>
  <si>
    <t>Containment in SP22 since not occurred</t>
  </si>
  <si>
    <t xml:space="preserve">P817298 </t>
  </si>
  <si>
    <t>P817298 - EQHBMI (Coarse POB Calibration) Fails due to [CN-00C0] Closed connection due to read timeo</t>
  </si>
  <si>
    <t xml:space="preserve"> P851510 - [EXE 5000] [CR51] Request to investigate and add failure mode to DDF: Incorrect or no flow</t>
  </si>
  <si>
    <t>P814232 - [EXE][NXE 3800] [NXE3600] - AGHB FW</t>
  </si>
  <si>
    <t>P825866 - [E100][EZ60] Remove 500ms check on auxiliary contactors during HV ON and HV OFF</t>
  </si>
  <si>
    <t>P757279 - [EXE Proto1] Lot failed with error PG-7404 - CTRL_Z_FORCE_OVER_LI</t>
  </si>
  <si>
    <t>first incident on GT69 after proper callibration occurred once</t>
  </si>
  <si>
    <t>WS ZJM delivery PBS 18823/SP23</t>
  </si>
  <si>
    <t>RS related lot abort | RQ-F000 | (03/09/2025 03:09:56.4002 RQ-F000 E</t>
  </si>
  <si>
    <t>Change default RCWC-XL BLD trip level to mitigate VolDiff value fluctuations</t>
  </si>
  <si>
    <t>Firmware delivered W19 (COB swap done)</t>
  </si>
  <si>
    <t>Working on diagnostic patch to continue RCA</t>
  </si>
  <si>
    <t>Planned patch W19 to mitigate clamp charge</t>
  </si>
  <si>
    <t>EpmID:112393| SCN - RS related lot abort | RQ-F000 | (03/09/2025 03:09:56.4002 RQ-F000 E</t>
  </si>
  <si>
    <t>RCa</t>
  </si>
  <si>
    <t>EQHBMI (Coarse POB Calibration) Fails due to [CN-00C0] Closed connection due to read timeo</t>
  </si>
  <si>
    <t>sp 22</t>
  </si>
  <si>
    <t>P844961 - Containment for KGHD_S to not require system stop/start</t>
  </si>
  <si>
    <t>closed</t>
  </si>
  <si>
    <t>SM-6003 WXRO died unexpectedly due to signal 11, process id: '845'</t>
  </si>
  <si>
    <t>open</t>
  </si>
  <si>
    <t>CR51][RH][RHEUNE][SP20][Reticle Handling] Reticle Transfer failed from LDLK to LDPT2 RH-9</t>
  </si>
  <si>
    <t>IPT auto recovery feature</t>
  </si>
  <si>
    <t>fixed in 5200 Firmware!</t>
  </si>
  <si>
    <t>containment do not run asm_collect_all at next occurrence?</t>
  </si>
  <si>
    <t>P852254 - RU-465E dp/dt violation during venting</t>
  </si>
  <si>
    <t>Loss of BFSR communication triggered a false water leak alarm which tripped SH042/059/087</t>
  </si>
  <si>
    <t>[GY86] Lot abort after lot stop event PX-B6FC / OE-2401 / LO-BAD1</t>
  </si>
  <si>
    <t>[EXE][CR51]- RU-1F2E_RH_LDLK_pressure_mismatch_after_001926C installed</t>
  </si>
  <si>
    <t>sp23</t>
  </si>
  <si>
    <t>Likely incident not CPD related</t>
  </si>
  <si>
    <t>PCS WZ-0D04</t>
  </si>
  <si>
    <t>Target release SP23</t>
  </si>
  <si>
    <t>Needs intake</t>
  </si>
  <si>
    <t>[exe5000] KN-0605 scan predictor error causing lot aborts: KXTRMI improvement</t>
  </si>
  <si>
    <t>P787613</t>
  </si>
  <si>
    <t>[VHV] [EX04] - Combined Focal CPD FOCEMI fails on KU-5113</t>
  </si>
  <si>
    <t>P793829</t>
  </si>
  <si>
    <t xml:space="preserve">Reticle Align (RA) models wrong FC </t>
  </si>
  <si>
    <t>SP21 changed wafer reject behavior to a lot abort behavior KU-5113 ==&gt; RR-1110</t>
  </si>
  <si>
    <t>SP23  500K solution in SP22</t>
  </si>
  <si>
    <t>EMFCMI fails on RM-3183 in EXE Proto2 (mEX04)</t>
  </si>
  <si>
    <t>Containment available RC</t>
  </si>
  <si>
    <t>mGY86 LZ-2004 Lot abort</t>
  </si>
  <si>
    <t>Containment available additional tracing needed</t>
  </si>
  <si>
    <t>[EX04] 2DBCR Failed to Read Barcode with active focus error</t>
  </si>
  <si>
    <t>BGDS manifolds fail during use due to broken solenoids on quick release valve</t>
  </si>
  <si>
    <t>BGDS manifold fails during use due to broken solonoid</t>
  </si>
  <si>
    <t>[CR51] RS LS Servo Error during Reticle Load</t>
  </si>
  <si>
    <t>Waiting on intake</t>
  </si>
  <si>
    <t>P878459</t>
  </si>
  <si>
    <t xml:space="preserve"> Lot Abort DWDE Memory NOK</t>
  </si>
  <si>
    <t>memory leak on task DWDT (SP40)</t>
  </si>
  <si>
    <t>Available in QBL from wk2510</t>
  </si>
  <si>
    <t>Use containment and monitor this AIR once RS speed is increased if this isuse will still occure</t>
  </si>
  <si>
    <t>P856296SP</t>
  </si>
  <si>
    <t>[SIMPLE TRACK] XE-SP40 - IBS-  wafcar run fail -  memory leak on task DWDT (SP40)</t>
  </si>
  <si>
    <t>SP40</t>
  </si>
  <si>
    <t>P885744 - [MK4 DL][Diagnostic improvement]DL logging not readable and can not find any root cause</t>
  </si>
  <si>
    <t>Monitoring  XER logs, request local team provide master panel screenshot and try</t>
  </si>
  <si>
    <t>TSMC_HC_RD mET18_SO53004620_CU_OT_Lot aborted by PG-48B4</t>
  </si>
  <si>
    <t>Possible containment patch 903929, P876472 900K Disable IRQ16 in WRL Kernel</t>
  </si>
  <si>
    <t>P842877</t>
  </si>
  <si>
    <t>Discrepancy between expected ILL MM1 flow limits and flow limits defined by F&amp;T</t>
  </si>
  <si>
    <t>Agree on new specs, remove MMDC intervention	2526.5</t>
  </si>
  <si>
    <t>Too high RCW flow on NxZ12 &amp; PxZ10 (PX side) WaterFlow (Supply Valve 54: MM1 NX &amp; PX) on OMM testrig 2 (BH88 - pilot 2)</t>
  </si>
  <si>
    <t>SP 23 fix</t>
  </si>
  <si>
    <t>MC53 DC-Link error limit NOK, causing downtime and MC53 swaps for US voltag</t>
  </si>
  <si>
    <t>US adapt FW release 23</t>
  </si>
  <si>
    <t>Large ER_Event_log pollution due to PG-5271, PG-5270, PG-</t>
  </si>
  <si>
    <t>[FDQ PDU] FDQ 4 channel module failure/error leads to long down time</t>
  </si>
  <si>
    <t>Release 2526.5 in Siemens SW</t>
  </si>
  <si>
    <t>FFA-FU: LBB-2004 Temperature switch discrepancy detected, but can not find root cause by official T/S Wo</t>
  </si>
  <si>
    <t>During CH lock the FOUP somehow failed WE-0406_HIPA_SLRerror.,14:13:09.172147  WE-0406  SUB CODE: [[X1:0x0A061001, ]],               W</t>
  </si>
  <si>
    <t xml:space="preserve">one - off </t>
  </si>
  <si>
    <t>REMA MMDC for X mutual crash protection can give false positive trips after MRE2OC calibration</t>
  </si>
  <si>
    <t>P893985</t>
  </si>
  <si>
    <t>P893985 - NJTL in busy state after DSU and propagate persistent erorr codes of MWLM to twinscan</t>
  </si>
  <si>
    <t>P770745</t>
  </si>
  <si>
    <t>P770745 - CR51 - Y-Encoders invalid (GY86 - X0 encoder invalid)</t>
  </si>
  <si>
    <t>[GT69] Intermittent RH MMDC LDLK EIP PRS PLB Sensor</t>
  </si>
  <si>
    <t>[SF-4514] ALSC NOK caused AS-055A lot aborts</t>
  </si>
  <si>
    <t>[EXE][GN93][Pil7] RETEX22 RELIAB queue failed on reticle unload - RU-14C5</t>
  </si>
  <si>
    <t>Monitoring waiting for next fail to load /reticle mis align(2 hits)</t>
  </si>
  <si>
    <t xml:space="preserve">CR51 lot abort MOI-0045: SRC - Lot Abort for SRC Laser Control </t>
  </si>
  <si>
    <t>RCA monitoring</t>
  </si>
  <si>
    <t>P691987 - (PTR1, XETR) IVR failed to init during reliability init/term cycling - Brake box internal</t>
  </si>
  <si>
    <t>EXE 5000 POB Mini-setup (Phase 1: enable automatic triggering, include tilt dependencies)</t>
  </si>
  <si>
    <t>SP24 solution to include auto cal after init</t>
  </si>
  <si>
    <t>[VHV][Proto2] NJTL fails on tunable laser HW error NJ-94D3</t>
  </si>
  <si>
    <t>Overheating Laser</t>
  </si>
  <si>
    <t>LZ-321B UVLS purge pressure Oos during lot production. would only get wafer reject. Need to escalate to lot abort</t>
  </si>
  <si>
    <t>mGY86 SWD RPAS performance is out of population</t>
  </si>
  <si>
    <t>System suffer RH-8550 data store mismatch after unload POD from LDPT2</t>
  </si>
  <si>
    <t>after</t>
  </si>
  <si>
    <t>Monitoring alignment</t>
  </si>
  <si>
    <t>Monitoring RCA</t>
  </si>
  <si>
    <t>Reticle sticks to RS during Unload due to charged RS clamp and/or reticle backside</t>
  </si>
  <si>
    <t xml:space="preserve"> [GT69] RPAS Pre-alignment step skipped during lot operation/RetEx fails because reticle pre-align not completed </t>
  </si>
  <si>
    <t>Should be fixed during RETEX 22 intro</t>
  </si>
  <si>
    <t>LDLK MMDC error induces PG error state on both LDLKs</t>
  </si>
  <si>
    <t xml:space="preserve">UR-04AE mGT69 IPT hang up/Database integrity issue: #reticles </t>
  </si>
  <si>
    <t>Line Item</t>
  </si>
  <si>
    <t>Scope</t>
  </si>
  <si>
    <t>Coverage (definition)</t>
  </si>
  <si>
    <t>EXE5000 System Reliability - MTBF issues                           </t>
  </si>
  <si>
    <t xml:space="preserve">TSMC Intel Samsung etc </t>
  </si>
  <si>
    <t xml:space="preserve">MTBFu hitscount/13 week </t>
  </si>
  <si>
    <t xml:space="preserve"> EXE5000 System Reliability - MTBF issues Watchlist              </t>
  </si>
  <si>
    <t>only proto's VHV Wilton etc</t>
  </si>
  <si>
    <t xml:space="preserve">  MTBFu hitcount/13 weeks </t>
  </si>
  <si>
    <t>EXE5000 System Reliability - MTBF issues Proto RH and Outerloop  </t>
  </si>
  <si>
    <t>TMM</t>
  </si>
  <si>
    <t xml:space="preserve">EXE5000 System reliability - TopX MLet Solutions planned          </t>
  </si>
  <si>
    <t>all EXE's</t>
  </si>
  <si>
    <t> list 1, 2 and 3 with &gt; 1
 hitrate last 13 weeks ( no single hitters) </t>
  </si>
  <si>
    <t xml:space="preserve">EXE5000 System Reliability - MTBF issues MTBF Monitor           </t>
  </si>
  <si>
    <t>  if occ==0 during last 13 week?</t>
  </si>
  <si>
    <t>EXE5200 - System Reliability &amp; Uptime</t>
  </si>
  <si>
    <t>EXE 5200 systems only</t>
  </si>
  <si>
    <t>Stocker and HT issues only</t>
  </si>
  <si>
    <t>EXE5200 - System Reliability - Av impact to be checked</t>
  </si>
  <si>
    <t>machine_nr</t>
  </si>
  <si>
    <t>machine_arch</t>
  </si>
  <si>
    <t>machine_group</t>
  </si>
  <si>
    <t>identifier</t>
  </si>
  <si>
    <t>platform</t>
  </si>
  <si>
    <t>nickname</t>
  </si>
  <si>
    <t>HW28</t>
  </si>
  <si>
    <t>NXE</t>
  </si>
  <si>
    <t>VHV</t>
  </si>
  <si>
    <t>BMM</t>
  </si>
  <si>
    <t>BMM-4</t>
  </si>
  <si>
    <t>EXE</t>
  </si>
  <si>
    <t>TSMC-F12</t>
  </si>
  <si>
    <t>PI</t>
  </si>
  <si>
    <t>Proto-1</t>
  </si>
  <si>
    <t>JM14</t>
  </si>
  <si>
    <t>Proto-20</t>
  </si>
  <si>
    <t>AV71</t>
  </si>
  <si>
    <t>Pilot-5</t>
  </si>
  <si>
    <t>FD86</t>
  </si>
  <si>
    <t>OMM</t>
  </si>
  <si>
    <t>OMM-1</t>
  </si>
  <si>
    <t>HM36</t>
  </si>
  <si>
    <t>TMM-1</t>
  </si>
  <si>
    <t>KZ09</t>
  </si>
  <si>
    <t>TMM-6</t>
  </si>
  <si>
    <t>IJ06</t>
  </si>
  <si>
    <t>TMM-4</t>
  </si>
  <si>
    <t>Pilot-2</t>
  </si>
  <si>
    <t>Intel-Hil</t>
  </si>
  <si>
    <t>Proto-2</t>
  </si>
  <si>
    <t>Pilot-4</t>
  </si>
  <si>
    <t>Pilot-3</t>
  </si>
  <si>
    <t>FG96</t>
  </si>
  <si>
    <t>CG40</t>
  </si>
  <si>
    <t>Proto-23</t>
  </si>
  <si>
    <t>KH72</t>
  </si>
  <si>
    <t>Pilot-6</t>
  </si>
  <si>
    <t>EU34</t>
  </si>
  <si>
    <t>Pilot-7</t>
  </si>
  <si>
    <t>JF75</t>
  </si>
  <si>
    <t>Pilot-8</t>
  </si>
  <si>
    <t>CP28</t>
  </si>
  <si>
    <t>Pilot-9</t>
  </si>
  <si>
    <t>IX60</t>
  </si>
  <si>
    <t>Pilot-20</t>
  </si>
  <si>
    <t>BJ60</t>
  </si>
  <si>
    <t>Pilot-10</t>
  </si>
  <si>
    <t>AY19</t>
  </si>
  <si>
    <t>Pilot-19</t>
  </si>
  <si>
    <t>FK58</t>
  </si>
  <si>
    <t>Pilot-12</t>
  </si>
  <si>
    <t>DS64</t>
  </si>
  <si>
    <t>Pilot-13</t>
  </si>
  <si>
    <t>KK75</t>
  </si>
  <si>
    <t>Pilot-14</t>
  </si>
  <si>
    <t>HY71</t>
  </si>
  <si>
    <t>Proto-3</t>
  </si>
  <si>
    <t>HX32</t>
  </si>
  <si>
    <t>BMM-3</t>
  </si>
  <si>
    <t>GN93</t>
  </si>
  <si>
    <t>00:00:00</t>
  </si>
  <si>
    <t>06:44:57</t>
  </si>
  <si>
    <t>[CR51][RS][SN-150B] Lot abort occurred due to Subsystem failed to send SARA or MSR reply in time.</t>
  </si>
  <si>
    <t>EpmID:132407| SCN - lot abort on RM-3247 | RM-3247 | CR51 19/08/2025</t>
  </si>
  <si>
    <t>|Proto2| |VHV| |mEX04| Unable to open LOT operations after task LOUDQT died</t>
  </si>
  <si>
    <t>P879404</t>
  </si>
  <si>
    <t>DFO-1F00</t>
  </si>
  <si>
    <t>ZF-36B7</t>
  </si>
  <si>
    <t>EpmID:133450| SRC - droplet unstable |  |</t>
  </si>
  <si>
    <t>EpmID:133160| SCN - MX failed for KE-9504 | ZF-36B7 |</t>
  </si>
  <si>
    <t>Root_Error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</si>
</sst>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2">
    <numFmt numFmtId="164" formatCode="[h]:mm:ss;@"/>
    <numFmt numFmtId="165" formatCode="0.0"/>
    <numFmt numFmtId="166" formatCode="0.0%;\-0.0%;0.0%"/>
    <numFmt numFmtId="167" formatCode="0.0%"/>
    <numFmt numFmtId="168" formatCode="d/mm/yyyy;@"/>
    <numFmt numFmtId="169" formatCode="0.0000"/>
    <numFmt numFmtId="170" formatCode="dd/mm/yyyy;@"/>
    <numFmt numFmtId="171" formatCode="00"/>
    <numFmt numFmtId="172" formatCode="dd/mm/yyyy"/>
    <numFmt numFmtId="173" formatCode="h:mm:ss;@"/>
    <numFmt numFmtId="174" formatCode="mm/dd/yy;@"/>
    <numFmt numFmtId="175" formatCode="[$-F400]h:mm:ss\ AM/PM"/>
  </numFmts>
  <fonts count="60">
    <font>
      <sz val="11"/>
      <color theme="1"/>
      <name val="Calibri"/>
      <family val="2"/>
      <scheme val="minor"/>
    </font>
    <font>
      <b/>
      <sz val="11"/>
      <color theme="1"/>
      <name val="Calibri"/>
      <family val="2"/>
      <scheme val="minor"/>
    </font>
    <font>
      <sz val="8"/>
      <name val="Calibri"/>
      <family val="2"/>
      <scheme val="minor"/>
    </font>
    <font>
      <sz val="10.5"/>
      <color rgb="FF000000"/>
      <name val="Wingdings"/>
      <charset val="2"/>
    </font>
    <font>
      <sz val="10.5"/>
      <color rgb="FF000000"/>
      <name val="Arial"/>
      <family val="2"/>
    </font>
    <font>
      <sz val="8"/>
      <color rgb="FF000000"/>
      <name val="Calibri"/>
      <family val="2"/>
    </font>
    <font>
      <sz val="8"/>
      <color rgb="FF000000"/>
      <name val="Arial"/>
      <family val="2"/>
    </font>
    <font>
      <b/>
      <sz val="8"/>
      <color rgb="FF000000"/>
      <name val="Arial"/>
      <family val="2"/>
    </font>
    <font>
      <b/>
      <sz val="8"/>
      <color rgb="FF00A3E0"/>
      <name val="Arial"/>
      <family val="2"/>
    </font>
    <font>
      <sz val="11"/>
      <color rgb="FF10069F"/>
      <name val="Webdings"/>
      <family val="1"/>
      <charset val="2"/>
    </font>
    <font>
      <sz val="10.5"/>
      <color theme="8"/>
      <name val="Arial"/>
      <family val="2"/>
    </font>
    <font>
      <sz val="8"/>
      <color rgb="FF10069F"/>
      <name val="Webdings"/>
      <family val="1"/>
      <charset val="2"/>
    </font>
    <font>
      <u/>
      <sz val="11"/>
      <color theme="10"/>
      <name val="Calibri"/>
      <family val="2"/>
      <scheme val="minor"/>
    </font>
    <font>
      <sz val="10.5"/>
      <name val="Arial"/>
      <family val="2"/>
    </font>
    <font>
      <b/>
      <sz val="8"/>
      <color theme="8"/>
      <name val="Arial"/>
      <family val="2"/>
    </font>
    <font>
      <b/>
      <sz val="10.5"/>
      <color theme="8"/>
      <name val="Arial"/>
      <family val="2"/>
    </font>
    <font>
      <sz val="11"/>
      <name val="Calibri"/>
      <family val="2"/>
      <scheme val="minor"/>
    </font>
    <font>
      <b/>
      <sz val="11"/>
      <color theme="4" tint="-0.249977111117893"/>
      <name val="Calibri"/>
      <family val="2"/>
      <scheme val="minor"/>
    </font>
    <font>
      <sz val="11"/>
      <color theme="1"/>
      <name val="Calibri"/>
      <family val="2"/>
      <scheme val="minor"/>
    </font>
    <font>
      <b/>
      <sz val="11"/>
      <name val="Calibri"/>
      <family val="2"/>
    </font>
    <font>
      <sz val="11"/>
      <color rgb="FF9C5700"/>
      <name val="Calibri"/>
      <family val="2"/>
      <scheme val="minor"/>
    </font>
    <font>
      <sz val="11"/>
      <color theme="6"/>
      <name val="Calibri"/>
      <family val="2"/>
      <scheme val="minor"/>
    </font>
    <font>
      <sz val="10"/>
      <color rgb="FF000000"/>
      <name val="Arial"/>
      <family val="2"/>
    </font>
    <font>
      <sz val="11"/>
      <color rgb="FFFF0000"/>
      <name val="Calibri"/>
      <family val="2"/>
      <scheme val="minor"/>
    </font>
    <font>
      <b/>
      <sz val="11"/>
      <color rgb="FFFF0000"/>
      <name val="Calibri"/>
      <family val="2"/>
      <scheme val="minor"/>
    </font>
    <font>
      <sz val="11"/>
      <name val="Calibri"/>
      <family val="2"/>
    </font>
    <font>
      <sz val="11"/>
      <color rgb="FF9C0006"/>
      <name val="Calibri"/>
      <family val="2"/>
      <scheme val="minor"/>
    </font>
    <font>
      <b/>
      <sz val="11"/>
      <color rgb="FF9C5700"/>
      <name val="Calibri"/>
      <family val="2"/>
      <scheme val="minor"/>
    </font>
    <font>
      <sz val="11"/>
      <color rgb="FF006100"/>
      <name val="Calibri"/>
      <family val="2"/>
      <scheme val="minor"/>
    </font>
    <font>
      <b/>
      <sz val="11"/>
      <color rgb="FFFA7D00"/>
      <name val="Calibri"/>
      <family val="2"/>
      <scheme val="minor"/>
    </font>
    <font>
      <sz val="11"/>
      <name val="Aptos Narrow"/>
      <family val="2"/>
    </font>
    <font>
      <b/>
      <sz val="11"/>
      <color theme="0"/>
      <name val="Calibri"/>
      <family val="2"/>
      <scheme val="minor"/>
    </font>
    <font>
      <sz val="11"/>
      <name val="Aptos Narrow"/>
      <family val="2"/>
    </font>
    <font>
      <sz val="10"/>
      <color rgb="FF000000"/>
      <name val="Calibri"/>
      <family val="2"/>
      <scheme val="minor"/>
    </font>
    <font>
      <sz val="11"/>
      <color rgb="FF000000"/>
      <name val="Calibri"/>
      <family val="2"/>
      <scheme val="minor"/>
    </font>
    <font>
      <sz val="10"/>
      <color theme="1"/>
      <name val="Arial Unicode MS"/>
    </font>
    <font>
      <sz val="11"/>
      <color rgb="FF000000"/>
      <name val="Calibri"/>
      <family val="2"/>
    </font>
    <font>
      <u/>
      <sz val="11"/>
      <name val="Calibri"/>
      <family val="2"/>
      <scheme val="minor"/>
    </font>
    <font>
      <sz val="11"/>
      <color rgb="FF000000"/>
      <name val="Arial"/>
      <family val="2"/>
    </font>
    <font>
      <b/>
      <sz val="10"/>
      <color rgb="FF0D0D0D"/>
      <name val="Arial"/>
      <family val="2"/>
    </font>
    <font>
      <sz val="11"/>
      <color rgb="FF9C5700"/>
      <name val="Lucida Console"/>
      <family val="3"/>
    </font>
    <font>
      <b/>
      <sz val="11"/>
      <color theme="1"/>
      <name val="Lucida Console"/>
      <family val="3"/>
    </font>
    <font>
      <sz val="11"/>
      <color theme="1"/>
      <name val="Lucida Console"/>
      <family val="3"/>
    </font>
    <font>
      <u/>
      <sz val="11"/>
      <color theme="10"/>
      <name val="Lucida Console"/>
      <family val="3"/>
    </font>
    <font>
      <sz val="11"/>
      <color theme="9"/>
      <name val="Lucida Console"/>
      <family val="3"/>
    </font>
    <font>
      <sz val="11"/>
      <name val="Lucida Console"/>
      <family val="3"/>
    </font>
    <font>
      <sz val="11"/>
      <color rgb="FF9C0006"/>
      <name val="Lucida Console"/>
      <family val="3"/>
    </font>
    <font>
      <sz val="10"/>
      <color theme="1"/>
      <name val="Lucida Console"/>
      <family val="3"/>
    </font>
    <font>
      <sz val="10"/>
      <color rgb="FF000000"/>
      <name val="Lucida Console"/>
      <family val="3"/>
    </font>
    <font>
      <sz val="11"/>
      <color rgb="FF000000"/>
      <name val="Lucida Console"/>
      <family val="3"/>
    </font>
    <font>
      <sz val="10"/>
      <color rgb="FF3B3B3B"/>
      <name val="Consolas"/>
      <family val="3"/>
    </font>
    <font>
      <sz val="11"/>
      <color theme="9"/>
      <name val="Calibri"/>
      <family val="2"/>
      <scheme val="minor"/>
    </font>
    <font>
      <b/>
      <sz val="20"/>
      <color theme="1"/>
      <name val="Calibri"/>
      <family val="2"/>
      <scheme val="minor"/>
    </font>
    <font>
      <sz val="11"/>
      <color theme="1"/>
      <name val="Aptos"/>
      <family val="2"/>
    </font>
    <font>
      <sz val="11"/>
      <color rgb="FF0D0D0D"/>
      <name val="Arial"/>
      <family val="2"/>
    </font>
    <font>
      <sz val="10"/>
      <color rgb="FF0D0D0D"/>
      <name val="Arial"/>
      <family val="2"/>
    </font>
    <font>
      <sz val="11"/>
      <name val="Aptos Narrow"/>
      <family val="2"/>
    </font>
    <font>
      <sz val="11"/>
      <color theme="9" tint="-0.249977111117893"/>
      <name val="Lucida Console"/>
      <family val="3"/>
    </font>
    <font>
      <sz val="9"/>
      <color theme="9" tint="-0.249977111117893"/>
      <name val="Lucida Console"/>
      <family val="3"/>
    </font>
    <font>
      <sz val="11"/>
      <name val="Aptos Narrow"/>
      <family val="2"/>
    </font>
  </fonts>
  <fills count="31">
    <fill>
      <patternFill patternType="none"/>
    </fill>
    <fill>
      <patternFill patternType="gray125"/>
    </fill>
    <fill>
      <patternFill patternType="solid">
        <fgColor theme="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5" tint="0.39997558519241921"/>
        <bgColor indexed="64"/>
      </patternFill>
    </fill>
    <fill>
      <patternFill patternType="solid">
        <fgColor theme="4" tint="0.79998168889431442"/>
        <bgColor theme="4" tint="0.79998168889431442"/>
      </patternFill>
    </fill>
    <fill>
      <patternFill patternType="solid">
        <fgColor rgb="FFF2F2F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6"/>
        <bgColor indexed="64"/>
      </patternFill>
    </fill>
    <fill>
      <patternFill patternType="solid">
        <fgColor theme="9"/>
        <bgColor indexed="64"/>
      </patternFill>
    </fill>
    <fill>
      <patternFill patternType="solid">
        <fgColor rgb="FFFFFF00"/>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3" tint="0.59999389629810485"/>
        <bgColor indexed="64"/>
      </patternFill>
    </fill>
    <fill>
      <patternFill patternType="solid">
        <fgColor rgb="FFFFEB9C"/>
      </patternFill>
    </fill>
    <fill>
      <patternFill patternType="solid">
        <fgColor theme="6" tint="0.59999389629810485"/>
        <bgColor indexed="64"/>
      </patternFill>
    </fill>
    <fill>
      <patternFill patternType="solid">
        <fgColor theme="0"/>
        <bgColor indexed="64"/>
      </patternFill>
    </fill>
    <fill>
      <patternFill patternType="solid">
        <fgColor rgb="FFFFC7CE"/>
      </patternFill>
    </fill>
    <fill>
      <patternFill patternType="solid">
        <fgColor rgb="FFC6EFCE"/>
      </patternFill>
    </fill>
    <fill>
      <patternFill patternType="solid">
        <fgColor rgb="FFF2F2F2"/>
      </patternFill>
    </fill>
    <fill>
      <patternFill patternType="solid">
        <fgColor rgb="FF0070C0"/>
        <bgColor indexed="64"/>
      </patternFill>
    </fill>
    <fill>
      <patternFill patternType="solid">
        <fgColor rgb="FFFFC000"/>
        <bgColor indexed="64"/>
      </patternFill>
    </fill>
    <fill>
      <patternFill patternType="solid">
        <fgColor theme="5" tint="0.79998168889431442"/>
        <bgColor theme="4" tint="0.79998168889431442"/>
      </patternFill>
    </fill>
    <fill>
      <patternFill patternType="solid">
        <fgColor theme="5"/>
        <bgColor indexed="64"/>
      </patternFill>
    </fill>
    <fill>
      <patternFill patternType="solid">
        <fgColor rgb="FFFFFFFF"/>
        <bgColor indexed="64"/>
      </patternFill>
    </fill>
    <fill>
      <patternFill patternType="solid">
        <fgColor theme="9" tint="0.39997558519241921"/>
        <bgColor indexed="64"/>
      </patternFill>
    </fill>
    <fill>
      <patternFill patternType="solid">
        <fgColor theme="4" tint="0.39997558519241921"/>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bottom style="thin">
        <color theme="4" tint="0.39997558519241921"/>
      </bottom>
      <diagonal/>
    </border>
    <border>
      <left/>
      <right style="thin">
        <color indexed="64"/>
      </right>
      <top/>
      <bottom style="thin">
        <color indexed="64"/>
      </bottom>
      <diagonal/>
    </border>
    <border>
      <left/>
      <right/>
      <top style="thin">
        <color rgb="FF5A5B5E"/>
      </top>
      <bottom style="thin">
        <color rgb="FF5A5B5E"/>
      </bottom>
      <diagonal/>
    </border>
    <border>
      <left/>
      <right/>
      <top/>
      <bottom style="thin">
        <color rgb="FF5A5B5E"/>
      </bottom>
      <diagonal/>
    </border>
    <border>
      <left/>
      <right/>
      <top style="thin">
        <color rgb="FF5A5B5E"/>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top style="thin">
        <color theme="4"/>
      </top>
      <bottom style="thin">
        <color theme="4"/>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thin">
        <color indexed="64"/>
      </top>
      <bottom style="thin">
        <color indexed="64"/>
      </bottom>
      <diagonal/>
    </border>
    <border>
      <left/>
      <right/>
      <top style="thin">
        <color theme="4" tint="0.39997558519241921"/>
      </top>
      <bottom/>
      <diagonal/>
    </border>
    <border>
      <left style="thin">
        <color indexed="64"/>
      </left>
      <right/>
      <top style="thin">
        <color theme="4" tint="0.39997558519241921"/>
      </top>
      <bottom style="thin">
        <color indexed="64"/>
      </bottom>
      <diagonal/>
    </border>
    <border>
      <left/>
      <right/>
      <top style="thin">
        <color theme="4" tint="0.39997558519241921"/>
      </top>
      <bottom style="thin">
        <color indexed="64"/>
      </bottom>
      <diagonal/>
    </border>
    <border>
      <left/>
      <right style="thin">
        <color indexed="64"/>
      </right>
      <top style="thin">
        <color theme="4" tint="0.39997558519241921"/>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
      <left/>
      <right/>
      <top style="thin">
        <color theme="4" tint="0.39997558519241921"/>
      </top>
      <bottom style="thin">
        <color theme="4" tint="0.39997558519241921"/>
      </bottom>
      <diagonal/>
    </border>
    <border>
      <left style="thin">
        <color theme="4" tint="0.39997558519241921"/>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right/>
      <top/>
      <bottom style="thin">
        <color indexed="64"/>
      </bottom>
      <diagonal/>
    </border>
    <border>
      <left/>
      <right/>
      <top style="double">
        <color theme="9"/>
      </top>
      <bottom style="thin">
        <color theme="9" tint="0.39997558519241921"/>
      </bottom>
      <diagonal/>
    </border>
    <border>
      <left style="thin">
        <color theme="4" tint="0.39997558519241921"/>
      </left>
      <right/>
      <top style="thin">
        <color theme="4" tint="0.39997558519241921"/>
      </top>
      <bottom/>
      <diagonal/>
    </border>
    <border>
      <left/>
      <right style="thin">
        <color theme="4" tint="0.39997558519241921"/>
      </right>
      <top style="thin">
        <color theme="4" tint="0.39997558519241921"/>
      </top>
      <bottom/>
      <diagonal/>
    </border>
  </borders>
  <cellStyleXfs count="12">
    <xf numFmtId="0" fontId="0" fillId="0" borderId="0"/>
    <xf numFmtId="0" fontId="12" fillId="0" borderId="0" applyNumberFormat="0" applyFill="0" applyBorder="0" applyAlignment="0" applyProtection="0"/>
    <xf numFmtId="9" fontId="18" fillId="0" borderId="0" applyFont="0" applyFill="0" applyBorder="0" applyAlignment="0" applyProtection="0"/>
    <xf numFmtId="0" fontId="20" fillId="18" borderId="0" applyNumberFormat="0" applyBorder="0" applyAlignment="0" applyProtection="0"/>
    <xf numFmtId="0" fontId="25" fillId="0" borderId="0"/>
    <xf numFmtId="0" fontId="26" fillId="21" borderId="0" applyNumberFormat="0" applyBorder="0" applyAlignment="0" applyProtection="0"/>
    <xf numFmtId="0" fontId="28" fillId="22" borderId="0" applyNumberFormat="0" applyBorder="0" applyAlignment="0" applyProtection="0"/>
    <xf numFmtId="0" fontId="29" fillId="23" borderId="41" applyNumberFormat="0" applyAlignment="0" applyProtection="0"/>
    <xf numFmtId="0" fontId="30" fillId="0" borderId="0"/>
    <xf numFmtId="0" fontId="32" fillId="0" borderId="0"/>
    <xf numFmtId="0" fontId="56" fillId="0" borderId="0"/>
    <xf numFmtId="0" fontId="59" fillId="0" borderId="0"/>
  </cellStyleXfs>
  <cellXfs count="543">
    <xf numFmtId="0" fontId="0" fillId="0" borderId="0" xfId="0"/>
    <xf numFmtId="0" fontId="1" fillId="0" borderId="1" xfId="0" applyFont="1" applyBorder="1" applyAlignment="1">
      <alignment horizontal="center" vertical="center"/>
    </xf>
    <xf numFmtId="0" fontId="0" fillId="0" borderId="1" xfId="0" applyBorder="1" applyAlignment="1">
      <alignment horizontal="center"/>
    </xf>
    <xf numFmtId="0" fontId="0" fillId="0" borderId="1" xfId="0" applyBorder="1" applyAlignment="1">
      <alignment horizontal="center" vertical="center"/>
    </xf>
    <xf numFmtId="0" fontId="1" fillId="0" borderId="1" xfId="0" applyFont="1" applyBorder="1"/>
    <xf numFmtId="2" fontId="0" fillId="0" borderId="0" xfId="0" applyNumberFormat="1"/>
    <xf numFmtId="0" fontId="0" fillId="3" borderId="1" xfId="0" applyFill="1" applyBorder="1" applyAlignment="1">
      <alignment horizontal="center" vertical="center"/>
    </xf>
    <xf numFmtId="0" fontId="0" fillId="4" borderId="1" xfId="0" applyFill="1" applyBorder="1"/>
    <xf numFmtId="0" fontId="0" fillId="0" borderId="1" xfId="0" applyBorder="1" applyAlignment="1">
      <alignment horizontal="left" vertical="center"/>
    </xf>
    <xf numFmtId="0" fontId="0" fillId="0" borderId="0" xfId="0" applyAlignment="1">
      <alignment horizontal="center" vertical="center"/>
    </xf>
    <xf numFmtId="0" fontId="0" fillId="0" borderId="4" xfId="0" applyBorder="1" applyAlignment="1">
      <alignment horizontal="center" vertical="center"/>
    </xf>
    <xf numFmtId="0" fontId="0" fillId="0" borderId="0" xfId="0" pivotButton="1"/>
    <xf numFmtId="0" fontId="0" fillId="0" borderId="0" xfId="0" applyAlignment="1">
      <alignment horizontal="left"/>
    </xf>
    <xf numFmtId="165" fontId="1" fillId="0" borderId="1" xfId="0" applyNumberFormat="1" applyFont="1" applyBorder="1" applyAlignment="1">
      <alignment horizontal="center" vertical="center"/>
    </xf>
    <xf numFmtId="0" fontId="0" fillId="0" borderId="6" xfId="0" applyBorder="1" applyAlignment="1">
      <alignment horizontal="center"/>
    </xf>
    <xf numFmtId="0" fontId="0" fillId="0" borderId="5" xfId="0" applyBorder="1" applyAlignment="1">
      <alignment horizontal="center" vertical="center"/>
    </xf>
    <xf numFmtId="0" fontId="1" fillId="0" borderId="4" xfId="0" applyFont="1" applyBorder="1"/>
    <xf numFmtId="0" fontId="0" fillId="0" borderId="4" xfId="0" applyBorder="1"/>
    <xf numFmtId="0" fontId="1" fillId="2" borderId="5" xfId="0" applyFont="1" applyFill="1" applyBorder="1" applyAlignment="1">
      <alignment horizontal="center" vertical="center"/>
    </xf>
    <xf numFmtId="0" fontId="1" fillId="2" borderId="1" xfId="0" applyFont="1" applyFill="1" applyBorder="1" applyAlignment="1">
      <alignment vertical="center"/>
    </xf>
    <xf numFmtId="0" fontId="1" fillId="2" borderId="1" xfId="0" applyFont="1" applyFill="1" applyBorder="1" applyAlignment="1">
      <alignment horizontal="center" vertical="center"/>
    </xf>
    <xf numFmtId="0" fontId="1" fillId="2" borderId="4" xfId="0" applyFont="1" applyFill="1" applyBorder="1" applyAlignment="1">
      <alignment horizontal="center" vertical="center"/>
    </xf>
    <xf numFmtId="165" fontId="0" fillId="2" borderId="1" xfId="0" applyNumberFormat="1" applyFill="1" applyBorder="1" applyAlignment="1">
      <alignment horizontal="center" vertical="center"/>
    </xf>
    <xf numFmtId="2" fontId="1" fillId="0" borderId="4" xfId="0" applyNumberFormat="1" applyFont="1" applyBorder="1" applyAlignment="1">
      <alignment horizontal="center" vertical="center"/>
    </xf>
    <xf numFmtId="0" fontId="1" fillId="4" borderId="1" xfId="0" applyFont="1" applyFill="1" applyBorder="1"/>
    <xf numFmtId="0" fontId="1" fillId="5" borderId="1" xfId="0" applyFont="1" applyFill="1" applyBorder="1" applyAlignment="1">
      <alignment horizontal="left" vertical="center"/>
    </xf>
    <xf numFmtId="0" fontId="1" fillId="6" borderId="1" xfId="0" applyFont="1" applyFill="1" applyBorder="1"/>
    <xf numFmtId="0" fontId="0" fillId="0" borderId="6" xfId="0" applyBorder="1" applyAlignment="1">
      <alignment horizontal="center" vertical="center"/>
    </xf>
    <xf numFmtId="2" fontId="0" fillId="0" borderId="1" xfId="0" applyNumberFormat="1" applyBorder="1" applyAlignment="1">
      <alignment horizontal="center" vertical="center"/>
    </xf>
    <xf numFmtId="0" fontId="0" fillId="3" borderId="1" xfId="0" applyFill="1" applyBorder="1" applyAlignment="1">
      <alignment horizontal="left" vertical="center"/>
    </xf>
    <xf numFmtId="165" fontId="0" fillId="0" borderId="1" xfId="0" applyNumberFormat="1" applyBorder="1" applyAlignment="1">
      <alignment horizontal="center" vertical="center"/>
    </xf>
    <xf numFmtId="165" fontId="0" fillId="3" borderId="1" xfId="0" applyNumberFormat="1" applyFill="1" applyBorder="1" applyAlignment="1">
      <alignment horizontal="center" vertical="center"/>
    </xf>
    <xf numFmtId="0" fontId="0" fillId="7" borderId="1" xfId="0" applyFill="1" applyBorder="1" applyAlignment="1">
      <alignment horizontal="left" vertical="center"/>
    </xf>
    <xf numFmtId="0" fontId="0" fillId="7" borderId="5" xfId="0" applyFill="1" applyBorder="1" applyAlignment="1">
      <alignment horizontal="left" vertical="center"/>
    </xf>
    <xf numFmtId="1" fontId="0" fillId="0" borderId="0" xfId="0" applyNumberFormat="1"/>
    <xf numFmtId="165" fontId="0" fillId="0" borderId="0" xfId="0" applyNumberFormat="1"/>
    <xf numFmtId="0" fontId="1" fillId="8" borderId="7" xfId="0" applyFont="1" applyFill="1" applyBorder="1"/>
    <xf numFmtId="0" fontId="0" fillId="0" borderId="0" xfId="0" applyAlignment="1">
      <alignment horizontal="center"/>
    </xf>
    <xf numFmtId="165" fontId="0" fillId="3" borderId="2" xfId="0" applyNumberFormat="1" applyFill="1" applyBorder="1" applyAlignment="1">
      <alignment horizontal="center" vertical="center"/>
    </xf>
    <xf numFmtId="0" fontId="0" fillId="3" borderId="5" xfId="0" applyFill="1" applyBorder="1" applyAlignment="1">
      <alignment horizontal="center" vertical="center"/>
    </xf>
    <xf numFmtId="0" fontId="6" fillId="0" borderId="9" xfId="0" applyFont="1" applyBorder="1" applyAlignment="1">
      <alignment horizontal="left" wrapText="1" readingOrder="1"/>
    </xf>
    <xf numFmtId="0" fontId="4" fillId="0" borderId="9" xfId="0" applyFont="1" applyBorder="1" applyAlignment="1">
      <alignment horizontal="left" wrapText="1" readingOrder="1"/>
    </xf>
    <xf numFmtId="0" fontId="6" fillId="0" borderId="9" xfId="0" applyFont="1" applyBorder="1" applyAlignment="1">
      <alignment horizontal="left" vertical="center" wrapText="1" readingOrder="1"/>
    </xf>
    <xf numFmtId="0" fontId="0" fillId="0" borderId="0" xfId="0" applyAlignment="1">
      <alignment wrapText="1"/>
    </xf>
    <xf numFmtId="0" fontId="9" fillId="0" borderId="0" xfId="0" applyFont="1" applyAlignment="1">
      <alignment horizontal="center" vertical="center"/>
    </xf>
    <xf numFmtId="0" fontId="11" fillId="0" borderId="9" xfId="0" applyFont="1" applyBorder="1" applyAlignment="1">
      <alignment horizontal="center" vertical="center" wrapText="1" readingOrder="1"/>
    </xf>
    <xf numFmtId="0" fontId="6" fillId="0" borderId="9" xfId="0" applyFont="1" applyBorder="1" applyAlignment="1">
      <alignment horizontal="center" vertical="center" wrapText="1" readingOrder="1"/>
    </xf>
    <xf numFmtId="0" fontId="4" fillId="0" borderId="9" xfId="0" applyFont="1" applyBorder="1" applyAlignment="1">
      <alignment horizontal="left" vertical="center" wrapText="1" readingOrder="1"/>
    </xf>
    <xf numFmtId="165" fontId="7" fillId="9" borderId="9" xfId="0" applyNumberFormat="1" applyFont="1" applyFill="1" applyBorder="1" applyAlignment="1">
      <alignment horizontal="center" vertical="center" wrapText="1" readingOrder="1"/>
    </xf>
    <xf numFmtId="0" fontId="1" fillId="0" borderId="0" xfId="0" applyFont="1"/>
    <xf numFmtId="0" fontId="5" fillId="0" borderId="9" xfId="0" applyFont="1" applyBorder="1" applyAlignment="1">
      <alignment horizontal="left" vertical="center" wrapText="1" readingOrder="1"/>
    </xf>
    <xf numFmtId="0" fontId="5" fillId="0" borderId="9" xfId="0" applyFont="1" applyBorder="1" applyAlignment="1">
      <alignment horizontal="left" wrapText="1" readingOrder="1"/>
    </xf>
    <xf numFmtId="0" fontId="0" fillId="10" borderId="0" xfId="0" applyFill="1"/>
    <xf numFmtId="0" fontId="8" fillId="0" borderId="10" xfId="0" applyFont="1" applyBorder="1" applyAlignment="1">
      <alignment horizontal="left" readingOrder="1"/>
    </xf>
    <xf numFmtId="0" fontId="11" fillId="0" borderId="11" xfId="0" applyFont="1" applyBorder="1" applyAlignment="1">
      <alignment horizontal="center" vertical="center" wrapText="1" readingOrder="1"/>
    </xf>
    <xf numFmtId="0" fontId="6" fillId="0" borderId="11" xfId="0" applyFont="1" applyBorder="1" applyAlignment="1">
      <alignment horizontal="left" vertical="center" wrapText="1" readingOrder="1"/>
    </xf>
    <xf numFmtId="0" fontId="6" fillId="0" borderId="11" xfId="0" applyFont="1" applyBorder="1" applyAlignment="1">
      <alignment horizontal="center" vertical="center" wrapText="1" readingOrder="1"/>
    </xf>
    <xf numFmtId="0" fontId="4" fillId="0" borderId="9" xfId="0" applyFont="1" applyBorder="1" applyAlignment="1">
      <alignment horizontal="center" wrapText="1" readingOrder="1"/>
    </xf>
    <xf numFmtId="0" fontId="1" fillId="2" borderId="0" xfId="0" applyFont="1" applyFill="1" applyAlignment="1">
      <alignment horizontal="center" vertical="center"/>
    </xf>
    <xf numFmtId="0" fontId="1" fillId="0" borderId="13" xfId="0" applyFont="1" applyBorder="1"/>
    <xf numFmtId="2" fontId="1" fillId="0" borderId="14" xfId="0" applyNumberFormat="1" applyFont="1" applyBorder="1"/>
    <xf numFmtId="2" fontId="1" fillId="0" borderId="16" xfId="0" applyNumberFormat="1" applyFont="1" applyBorder="1"/>
    <xf numFmtId="0" fontId="1" fillId="0" borderId="16" xfId="0" applyFont="1" applyBorder="1"/>
    <xf numFmtId="0" fontId="1" fillId="0" borderId="18" xfId="0" applyFont="1" applyBorder="1"/>
    <xf numFmtId="2" fontId="1" fillId="0" borderId="19" xfId="0" applyNumberFormat="1" applyFont="1" applyBorder="1"/>
    <xf numFmtId="0" fontId="0" fillId="12" borderId="0" xfId="0" applyFill="1"/>
    <xf numFmtId="0" fontId="0" fillId="3" borderId="0" xfId="0" applyFill="1"/>
    <xf numFmtId="0" fontId="0" fillId="13" borderId="0" xfId="0" applyFill="1"/>
    <xf numFmtId="0" fontId="0" fillId="0" borderId="25" xfId="0" applyBorder="1" applyAlignment="1">
      <alignment horizontal="center" vertical="center"/>
    </xf>
    <xf numFmtId="0" fontId="0" fillId="0" borderId="5" xfId="0" applyBorder="1" applyAlignment="1">
      <alignment horizontal="left" vertical="center" wrapText="1"/>
    </xf>
    <xf numFmtId="165" fontId="7" fillId="9" borderId="11" xfId="0" applyNumberFormat="1" applyFont="1" applyFill="1" applyBorder="1" applyAlignment="1">
      <alignment horizontal="center" vertical="center" wrapText="1" readingOrder="1"/>
    </xf>
    <xf numFmtId="0" fontId="4" fillId="0" borderId="11" xfId="0" applyFont="1" applyBorder="1" applyAlignment="1">
      <alignment horizontal="center" wrapText="1" readingOrder="1"/>
    </xf>
    <xf numFmtId="14" fontId="4" fillId="0" borderId="9" xfId="0" applyNumberFormat="1" applyFont="1" applyBorder="1" applyAlignment="1">
      <alignment horizontal="center" wrapText="1" readingOrder="1"/>
    </xf>
    <xf numFmtId="0" fontId="13" fillId="0" borderId="9" xfId="0" applyFont="1" applyBorder="1" applyAlignment="1">
      <alignment horizontal="left" vertical="center" wrapText="1" readingOrder="1"/>
    </xf>
    <xf numFmtId="0" fontId="10" fillId="0" borderId="9" xfId="0" applyFont="1" applyBorder="1" applyAlignment="1">
      <alignment horizontal="left" vertical="center" wrapText="1" readingOrder="1"/>
    </xf>
    <xf numFmtId="0" fontId="0" fillId="4" borderId="1" xfId="0" applyFill="1" applyBorder="1" applyAlignment="1">
      <alignment horizontal="center" vertical="center"/>
    </xf>
    <xf numFmtId="0" fontId="10" fillId="0" borderId="9" xfId="0" applyFont="1" applyBorder="1" applyAlignment="1">
      <alignment horizontal="left" wrapText="1" readingOrder="1"/>
    </xf>
    <xf numFmtId="0" fontId="4" fillId="0" borderId="11" xfId="0" applyFont="1" applyBorder="1" applyAlignment="1">
      <alignment horizontal="left" vertical="center" wrapText="1" readingOrder="1"/>
    </xf>
    <xf numFmtId="0" fontId="12" fillId="0" borderId="9" xfId="1" applyFill="1" applyBorder="1" applyAlignment="1">
      <alignment horizontal="left" vertical="center" wrapText="1" readingOrder="1"/>
    </xf>
    <xf numFmtId="0" fontId="12" fillId="0" borderId="9" xfId="1" applyBorder="1" applyAlignment="1">
      <alignment horizontal="left" vertical="center" wrapText="1" readingOrder="1"/>
    </xf>
    <xf numFmtId="0" fontId="12" fillId="0" borderId="11" xfId="1" applyBorder="1" applyAlignment="1">
      <alignment horizontal="left" vertical="center" wrapText="1" readingOrder="1"/>
    </xf>
    <xf numFmtId="0" fontId="14" fillId="0" borderId="10" xfId="0" applyFont="1" applyBorder="1" applyAlignment="1">
      <alignment horizontal="left" readingOrder="1"/>
    </xf>
    <xf numFmtId="0" fontId="14" fillId="0" borderId="10" xfId="0" applyFont="1" applyBorder="1" applyAlignment="1">
      <alignment horizontal="left" wrapText="1" readingOrder="1"/>
    </xf>
    <xf numFmtId="0" fontId="14" fillId="9" borderId="10" xfId="0" applyFont="1" applyFill="1" applyBorder="1" applyAlignment="1">
      <alignment horizontal="center" wrapText="1" readingOrder="1"/>
    </xf>
    <xf numFmtId="0" fontId="14" fillId="0" borderId="10" xfId="0" applyFont="1" applyBorder="1" applyAlignment="1">
      <alignment horizontal="center" wrapText="1" readingOrder="1"/>
    </xf>
    <xf numFmtId="0" fontId="15" fillId="0" borderId="10" xfId="0" applyFont="1" applyBorder="1" applyAlignment="1">
      <alignment horizontal="left" wrapText="1" readingOrder="1"/>
    </xf>
    <xf numFmtId="0" fontId="16" fillId="0" borderId="0" xfId="0" applyFont="1"/>
    <xf numFmtId="0" fontId="17" fillId="0" borderId="26" xfId="0" applyFont="1" applyBorder="1"/>
    <xf numFmtId="0" fontId="17" fillId="0" borderId="26" xfId="0" applyFont="1" applyBorder="1" applyAlignment="1">
      <alignment horizontal="center"/>
    </xf>
    <xf numFmtId="0" fontId="16" fillId="0" borderId="0" xfId="0" applyFont="1" applyAlignment="1">
      <alignment horizontal="center"/>
    </xf>
    <xf numFmtId="0" fontId="17" fillId="14" borderId="26" xfId="0" applyFont="1" applyFill="1" applyBorder="1" applyAlignment="1">
      <alignment horizontal="center"/>
    </xf>
    <xf numFmtId="165" fontId="17" fillId="0" borderId="26" xfId="0" applyNumberFormat="1" applyFont="1" applyBorder="1" applyAlignment="1">
      <alignment horizontal="center"/>
    </xf>
    <xf numFmtId="0" fontId="17" fillId="0" borderId="0" xfId="0" applyFont="1" applyAlignment="1">
      <alignment horizontal="center"/>
    </xf>
    <xf numFmtId="1" fontId="16" fillId="0" borderId="0" xfId="0" applyNumberFormat="1" applyFont="1" applyAlignment="1">
      <alignment horizontal="center"/>
    </xf>
    <xf numFmtId="1" fontId="17" fillId="0" borderId="26" xfId="0" applyNumberFormat="1" applyFont="1" applyBorder="1" applyAlignment="1">
      <alignment horizontal="center"/>
    </xf>
    <xf numFmtId="165" fontId="16" fillId="0" borderId="0" xfId="0" applyNumberFormat="1" applyFont="1" applyAlignment="1">
      <alignment horizontal="center"/>
    </xf>
    <xf numFmtId="0" fontId="0" fillId="14" borderId="0" xfId="0" applyFill="1" applyAlignment="1">
      <alignment horizontal="center"/>
    </xf>
    <xf numFmtId="165" fontId="1" fillId="0" borderId="0" xfId="0" applyNumberFormat="1" applyFont="1" applyAlignment="1">
      <alignment horizontal="center"/>
    </xf>
    <xf numFmtId="0" fontId="19" fillId="0" borderId="0" xfId="0" applyFont="1" applyAlignment="1">
      <alignment vertical="top"/>
    </xf>
    <xf numFmtId="0" fontId="1" fillId="0" borderId="0" xfId="0" applyFont="1" applyAlignment="1">
      <alignment horizontal="center"/>
    </xf>
    <xf numFmtId="166" fontId="0" fillId="0" borderId="1" xfId="0" applyNumberFormat="1" applyBorder="1" applyAlignment="1">
      <alignment horizontal="center"/>
    </xf>
    <xf numFmtId="0" fontId="0" fillId="0" borderId="1" xfId="0" applyBorder="1" applyAlignment="1">
      <alignment horizontal="center" vertical="top"/>
    </xf>
    <xf numFmtId="0" fontId="1" fillId="0" borderId="1" xfId="0" applyFont="1" applyBorder="1" applyAlignment="1">
      <alignment horizontal="center" vertical="top"/>
    </xf>
    <xf numFmtId="165" fontId="0" fillId="0" borderId="1" xfId="0" applyNumberFormat="1" applyBorder="1" applyAlignment="1">
      <alignment horizontal="center"/>
    </xf>
    <xf numFmtId="166" fontId="0" fillId="0" borderId="0" xfId="0" applyNumberFormat="1" applyAlignment="1">
      <alignment horizontal="center"/>
    </xf>
    <xf numFmtId="165" fontId="0" fillId="0" borderId="0" xfId="0" applyNumberFormat="1" applyAlignment="1">
      <alignment horizontal="center"/>
    </xf>
    <xf numFmtId="166" fontId="0" fillId="2" borderId="1" xfId="0" applyNumberFormat="1" applyFill="1" applyBorder="1" applyAlignment="1">
      <alignment horizontal="center"/>
    </xf>
    <xf numFmtId="165" fontId="0" fillId="2" borderId="1" xfId="0" applyNumberFormat="1" applyFill="1" applyBorder="1" applyAlignment="1">
      <alignment horizontal="center"/>
    </xf>
    <xf numFmtId="167" fontId="0" fillId="0" borderId="1" xfId="2" applyNumberFormat="1" applyFont="1" applyBorder="1" applyAlignment="1">
      <alignment horizontal="center"/>
    </xf>
    <xf numFmtId="167" fontId="0" fillId="2" borderId="1" xfId="2" applyNumberFormat="1" applyFont="1" applyFill="1" applyBorder="1" applyAlignment="1">
      <alignment horizontal="center"/>
    </xf>
    <xf numFmtId="9" fontId="0" fillId="0" borderId="0" xfId="0" applyNumberFormat="1"/>
    <xf numFmtId="0" fontId="13" fillId="0" borderId="9" xfId="0" applyFont="1" applyBorder="1" applyAlignment="1">
      <alignment horizontal="left" wrapText="1" readingOrder="1"/>
    </xf>
    <xf numFmtId="0" fontId="1" fillId="16" borderId="1" xfId="0" applyFont="1" applyFill="1" applyBorder="1" applyAlignment="1">
      <alignment horizontal="center" vertical="center"/>
    </xf>
    <xf numFmtId="0" fontId="1" fillId="17" borderId="1" xfId="0" applyFont="1" applyFill="1" applyBorder="1" applyAlignment="1">
      <alignment horizontal="center" vertical="center"/>
    </xf>
    <xf numFmtId="0" fontId="1" fillId="17" borderId="1" xfId="0" applyFont="1" applyFill="1" applyBorder="1" applyAlignment="1">
      <alignment horizontal="center" vertical="center" wrapText="1"/>
    </xf>
    <xf numFmtId="2" fontId="0" fillId="4" borderId="1" xfId="0" applyNumberFormat="1" applyFill="1" applyBorder="1" applyAlignment="1">
      <alignment horizontal="center" vertical="center"/>
    </xf>
    <xf numFmtId="169" fontId="0" fillId="4" borderId="1" xfId="0" applyNumberFormat="1" applyFill="1" applyBorder="1" applyAlignment="1">
      <alignment horizontal="center" vertical="center"/>
    </xf>
    <xf numFmtId="10" fontId="0" fillId="4" borderId="1" xfId="2" applyNumberFormat="1" applyFont="1" applyFill="1" applyBorder="1" applyAlignment="1">
      <alignment horizontal="center" vertical="center"/>
    </xf>
    <xf numFmtId="0" fontId="0" fillId="4" borderId="6" xfId="0" applyFill="1" applyBorder="1" applyAlignment="1">
      <alignment horizontal="center" vertical="center"/>
    </xf>
    <xf numFmtId="0" fontId="0" fillId="10" borderId="1" xfId="0" applyFill="1" applyBorder="1" applyAlignment="1">
      <alignment horizontal="right" vertical="center"/>
    </xf>
    <xf numFmtId="167" fontId="0" fillId="4" borderId="1" xfId="2" applyNumberFormat="1" applyFont="1" applyFill="1" applyBorder="1" applyAlignment="1">
      <alignment horizontal="center" vertical="center"/>
    </xf>
    <xf numFmtId="0" fontId="10" fillId="0" borderId="11" xfId="0" applyFont="1" applyBorder="1" applyAlignment="1">
      <alignment horizontal="left" wrapText="1" readingOrder="1"/>
    </xf>
    <xf numFmtId="14" fontId="4" fillId="0" borderId="11" xfId="0" applyNumberFormat="1" applyFont="1" applyBorder="1" applyAlignment="1">
      <alignment horizontal="center" wrapText="1" readingOrder="1"/>
    </xf>
    <xf numFmtId="0" fontId="0" fillId="0" borderId="1" xfId="0" applyBorder="1" applyAlignment="1">
      <alignment horizontal="left"/>
    </xf>
    <xf numFmtId="0" fontId="1" fillId="0" borderId="1" xfId="0" applyFont="1" applyBorder="1" applyAlignment="1">
      <alignment horizontal="center"/>
    </xf>
    <xf numFmtId="0" fontId="12" fillId="0" borderId="9" xfId="1" applyNumberFormat="1" applyBorder="1" applyAlignment="1">
      <alignment horizontal="left" vertical="center" wrapText="1" readingOrder="1"/>
    </xf>
    <xf numFmtId="0" fontId="10" fillId="0" borderId="9" xfId="0" quotePrefix="1" applyFont="1" applyBorder="1" applyAlignment="1">
      <alignment horizontal="left" wrapText="1" readingOrder="1"/>
    </xf>
    <xf numFmtId="0" fontId="10" fillId="0" borderId="9" xfId="0" quotePrefix="1" applyFont="1" applyBorder="1" applyAlignment="1">
      <alignment horizontal="left" vertical="center" wrapText="1" readingOrder="1"/>
    </xf>
    <xf numFmtId="0" fontId="5" fillId="0" borderId="11" xfId="0" applyFont="1" applyBorder="1" applyAlignment="1">
      <alignment horizontal="left" vertical="center" wrapText="1" readingOrder="1"/>
    </xf>
    <xf numFmtId="0" fontId="12" fillId="0" borderId="11" xfId="1" applyNumberFormat="1" applyBorder="1" applyAlignment="1">
      <alignment horizontal="left" vertical="center" wrapText="1" readingOrder="1"/>
    </xf>
    <xf numFmtId="0" fontId="0" fillId="0" borderId="5" xfId="0" applyBorder="1" applyAlignment="1">
      <alignment horizontal="center"/>
    </xf>
    <xf numFmtId="0" fontId="0" fillId="0" borderId="4" xfId="0" applyBorder="1" applyAlignment="1">
      <alignment horizontal="left"/>
    </xf>
    <xf numFmtId="0" fontId="1" fillId="0" borderId="2" xfId="0" applyFont="1" applyBorder="1" applyAlignment="1">
      <alignment horizontal="center"/>
    </xf>
    <xf numFmtId="0" fontId="0" fillId="0" borderId="5" xfId="0" applyBorder="1" applyAlignment="1">
      <alignment horizontal="left"/>
    </xf>
    <xf numFmtId="0" fontId="0" fillId="0" borderId="23" xfId="0" applyBorder="1" applyAlignment="1">
      <alignment horizontal="left"/>
    </xf>
    <xf numFmtId="0" fontId="0" fillId="0" borderId="2" xfId="0" applyBorder="1" applyAlignment="1">
      <alignment horizontal="center"/>
    </xf>
    <xf numFmtId="0" fontId="0" fillId="0" borderId="5" xfId="0" applyBorder="1" applyAlignment="1">
      <alignment horizontal="left" vertical="center"/>
    </xf>
    <xf numFmtId="49" fontId="1" fillId="0" borderId="2" xfId="0" applyNumberFormat="1" applyFont="1" applyBorder="1" applyAlignment="1">
      <alignment horizontal="left"/>
    </xf>
    <xf numFmtId="0" fontId="21" fillId="19" borderId="1" xfId="0" applyFont="1" applyFill="1" applyBorder="1" applyAlignment="1">
      <alignment horizontal="center"/>
    </xf>
    <xf numFmtId="0" fontId="20" fillId="18" borderId="1" xfId="3" applyBorder="1" applyAlignment="1">
      <alignment horizontal="center"/>
    </xf>
    <xf numFmtId="0" fontId="20" fillId="18" borderId="5" xfId="3" applyBorder="1" applyAlignment="1">
      <alignment horizontal="center"/>
    </xf>
    <xf numFmtId="0" fontId="10" fillId="0" borderId="11" xfId="0" quotePrefix="1" applyFont="1" applyBorder="1" applyAlignment="1">
      <alignment horizontal="left" vertical="center" wrapText="1" readingOrder="1"/>
    </xf>
    <xf numFmtId="0" fontId="4" fillId="0" borderId="11" xfId="0" applyFont="1" applyBorder="1" applyAlignment="1">
      <alignment horizontal="left" wrapText="1" readingOrder="1"/>
    </xf>
    <xf numFmtId="0" fontId="1" fillId="0" borderId="30" xfId="0" applyFont="1" applyBorder="1" applyAlignment="1">
      <alignment horizontal="center" vertical="center"/>
    </xf>
    <xf numFmtId="0" fontId="1" fillId="0" borderId="31" xfId="0" applyFont="1" applyBorder="1" applyAlignment="1">
      <alignment horizontal="center" vertical="center"/>
    </xf>
    <xf numFmtId="0" fontId="1" fillId="0" borderId="31" xfId="0" applyFont="1" applyBorder="1" applyAlignment="1">
      <alignment horizontal="center" vertical="center" wrapText="1"/>
    </xf>
    <xf numFmtId="0" fontId="1" fillId="0" borderId="32" xfId="0" applyFont="1" applyBorder="1" applyAlignment="1">
      <alignment horizontal="center" vertical="center"/>
    </xf>
    <xf numFmtId="0" fontId="17" fillId="0" borderId="0" xfId="0" applyFont="1"/>
    <xf numFmtId="1" fontId="17" fillId="0" borderId="0" xfId="0" applyNumberFormat="1" applyFont="1" applyAlignment="1">
      <alignment horizontal="center"/>
    </xf>
    <xf numFmtId="165" fontId="17" fillId="0" borderId="0" xfId="0" applyNumberFormat="1" applyFont="1" applyAlignment="1">
      <alignment horizontal="center"/>
    </xf>
    <xf numFmtId="0" fontId="0" fillId="0" borderId="25" xfId="0" applyBorder="1" applyAlignment="1">
      <alignment horizontal="center"/>
    </xf>
    <xf numFmtId="9" fontId="0" fillId="0" borderId="0" xfId="2" applyFont="1" applyBorder="1" applyAlignment="1">
      <alignment horizontal="center"/>
    </xf>
    <xf numFmtId="167" fontId="0" fillId="0" borderId="0" xfId="2" applyNumberFormat="1" applyFont="1" applyAlignment="1">
      <alignment horizontal="center"/>
    </xf>
    <xf numFmtId="0" fontId="0" fillId="0" borderId="3" xfId="0" applyBorder="1" applyAlignment="1">
      <alignment horizontal="center" vertical="center"/>
    </xf>
    <xf numFmtId="0" fontId="0" fillId="0" borderId="0" xfId="0" applyAlignment="1">
      <alignment horizontal="left" indent="1"/>
    </xf>
    <xf numFmtId="0" fontId="1" fillId="0" borderId="0" xfId="0" applyFont="1" applyAlignment="1">
      <alignment horizontal="left"/>
    </xf>
    <xf numFmtId="1" fontId="1" fillId="0" borderId="0" xfId="0" applyNumberFormat="1" applyFont="1" applyAlignment="1">
      <alignment horizontal="left"/>
    </xf>
    <xf numFmtId="165" fontId="1" fillId="0" borderId="0" xfId="0" applyNumberFormat="1" applyFont="1" applyAlignment="1">
      <alignment horizontal="left"/>
    </xf>
    <xf numFmtId="165" fontId="0" fillId="0" borderId="3" xfId="0" applyNumberFormat="1" applyBorder="1" applyAlignment="1">
      <alignment horizontal="center"/>
    </xf>
    <xf numFmtId="165" fontId="0" fillId="3" borderId="5" xfId="0" applyNumberFormat="1" applyFill="1" applyBorder="1" applyAlignment="1">
      <alignment horizontal="center" vertical="center"/>
    </xf>
    <xf numFmtId="170" fontId="0" fillId="3" borderId="2" xfId="0" applyNumberFormat="1" applyFill="1" applyBorder="1" applyAlignment="1">
      <alignment horizontal="center" vertical="center"/>
    </xf>
    <xf numFmtId="170" fontId="0" fillId="3" borderId="1" xfId="0" applyNumberFormat="1" applyFill="1" applyBorder="1" applyAlignment="1">
      <alignment horizontal="center" vertical="center"/>
    </xf>
    <xf numFmtId="170" fontId="0" fillId="3" borderId="3" xfId="0" applyNumberFormat="1" applyFill="1" applyBorder="1" applyAlignment="1">
      <alignment horizontal="center" vertical="center"/>
    </xf>
    <xf numFmtId="49" fontId="0" fillId="0" borderId="0" xfId="0" applyNumberFormat="1" applyAlignment="1">
      <alignment horizontal="center" vertical="center"/>
    </xf>
    <xf numFmtId="171" fontId="0" fillId="3" borderId="2" xfId="0" applyNumberFormat="1" applyFill="1" applyBorder="1" applyAlignment="1">
      <alignment horizontal="center" vertical="center"/>
    </xf>
    <xf numFmtId="1" fontId="20" fillId="18" borderId="1" xfId="3" applyNumberFormat="1" applyBorder="1" applyAlignment="1">
      <alignment horizontal="center"/>
    </xf>
    <xf numFmtId="0" fontId="0" fillId="0" borderId="2" xfId="0" applyBorder="1" applyAlignment="1">
      <alignment horizontal="left"/>
    </xf>
    <xf numFmtId="171" fontId="0" fillId="3" borderId="3" xfId="0" applyNumberFormat="1" applyFill="1" applyBorder="1" applyAlignment="1">
      <alignment horizontal="center" vertical="center"/>
    </xf>
    <xf numFmtId="170" fontId="0" fillId="3" borderId="4" xfId="0" applyNumberFormat="1" applyFill="1" applyBorder="1" applyAlignment="1">
      <alignment horizontal="center" vertical="center"/>
    </xf>
    <xf numFmtId="14" fontId="0" fillId="3" borderId="5" xfId="0" applyNumberFormat="1" applyFill="1" applyBorder="1" applyAlignment="1">
      <alignment horizontal="center" vertical="center"/>
    </xf>
    <xf numFmtId="0" fontId="0" fillId="0" borderId="6" xfId="0" applyBorder="1"/>
    <xf numFmtId="0" fontId="0" fillId="0" borderId="25" xfId="0" applyBorder="1"/>
    <xf numFmtId="14" fontId="0" fillId="0" borderId="0" xfId="0" applyNumberFormat="1"/>
    <xf numFmtId="0" fontId="1" fillId="0" borderId="5" xfId="0" applyFont="1" applyBorder="1"/>
    <xf numFmtId="0" fontId="1" fillId="0" borderId="8" xfId="0" applyFont="1" applyBorder="1"/>
    <xf numFmtId="0" fontId="1" fillId="0" borderId="2" xfId="0" applyFont="1" applyBorder="1"/>
    <xf numFmtId="0" fontId="0" fillId="0" borderId="1" xfId="0" applyBorder="1"/>
    <xf numFmtId="0" fontId="21" fillId="19" borderId="1" xfId="0" applyFont="1" applyFill="1" applyBorder="1"/>
    <xf numFmtId="0" fontId="1" fillId="0" borderId="24" xfId="0" applyFont="1" applyBorder="1"/>
    <xf numFmtId="0" fontId="22" fillId="0" borderId="1" xfId="0" applyFont="1" applyBorder="1"/>
    <xf numFmtId="0" fontId="0" fillId="0" borderId="27" xfId="0" applyBorder="1"/>
    <xf numFmtId="0" fontId="0" fillId="0" borderId="29" xfId="0" applyBorder="1"/>
    <xf numFmtId="172" fontId="0" fillId="0" borderId="0" xfId="0" applyNumberFormat="1"/>
    <xf numFmtId="1" fontId="0" fillId="0" borderId="23" xfId="0" applyNumberFormat="1" applyBorder="1" applyAlignment="1">
      <alignment horizontal="center"/>
    </xf>
    <xf numFmtId="1" fontId="0" fillId="0" borderId="25" xfId="0" applyNumberFormat="1" applyBorder="1" applyAlignment="1">
      <alignment horizontal="center"/>
    </xf>
    <xf numFmtId="1" fontId="0" fillId="0" borderId="28" xfId="0" applyNumberFormat="1" applyBorder="1" applyAlignment="1">
      <alignment horizontal="center"/>
    </xf>
    <xf numFmtId="1" fontId="0" fillId="0" borderId="29" xfId="0" applyNumberFormat="1" applyBorder="1" applyAlignment="1">
      <alignment horizontal="center"/>
    </xf>
    <xf numFmtId="0" fontId="1" fillId="8" borderId="0" xfId="0" applyFont="1" applyFill="1" applyAlignment="1">
      <alignment horizontal="center"/>
    </xf>
    <xf numFmtId="0" fontId="1" fillId="8" borderId="4" xfId="0" applyFont="1" applyFill="1" applyBorder="1" applyAlignment="1">
      <alignment horizontal="center"/>
    </xf>
    <xf numFmtId="0" fontId="1" fillId="8" borderId="33" xfId="0" applyFont="1" applyFill="1" applyBorder="1" applyAlignment="1">
      <alignment horizontal="center"/>
    </xf>
    <xf numFmtId="164" fontId="1" fillId="8" borderId="27" xfId="0" applyNumberFormat="1" applyFont="1" applyFill="1" applyBorder="1" applyAlignment="1">
      <alignment horizontal="center"/>
    </xf>
    <xf numFmtId="1" fontId="1" fillId="8" borderId="6" xfId="0" applyNumberFormat="1" applyFont="1" applyFill="1" applyBorder="1" applyAlignment="1">
      <alignment horizontal="center"/>
    </xf>
    <xf numFmtId="0" fontId="1" fillId="8" borderId="7" xfId="0" applyFont="1" applyFill="1" applyBorder="1" applyAlignment="1">
      <alignment horizontal="center"/>
    </xf>
    <xf numFmtId="0" fontId="1" fillId="8" borderId="6" xfId="0" applyFont="1" applyFill="1" applyBorder="1" applyAlignment="1">
      <alignment horizontal="center"/>
    </xf>
    <xf numFmtId="0" fontId="1" fillId="8" borderId="34" xfId="0" applyFont="1" applyFill="1" applyBorder="1" applyAlignment="1">
      <alignment horizontal="center"/>
    </xf>
    <xf numFmtId="1" fontId="1" fillId="8" borderId="35" xfId="0" applyNumberFormat="1" applyFont="1" applyFill="1" applyBorder="1" applyAlignment="1">
      <alignment horizontal="center"/>
    </xf>
    <xf numFmtId="1" fontId="1" fillId="8" borderId="37" xfId="0" applyNumberFormat="1" applyFont="1" applyFill="1" applyBorder="1" applyAlignment="1">
      <alignment horizontal="center"/>
    </xf>
    <xf numFmtId="0" fontId="1" fillId="8" borderId="4" xfId="0" applyFont="1" applyFill="1" applyBorder="1" applyAlignment="1">
      <alignment horizontal="left"/>
    </xf>
    <xf numFmtId="1" fontId="16" fillId="0" borderId="28" xfId="0" applyNumberFormat="1" applyFont="1" applyBorder="1" applyAlignment="1">
      <alignment horizontal="center"/>
    </xf>
    <xf numFmtId="1" fontId="16" fillId="0" borderId="29" xfId="0" applyNumberFormat="1" applyFont="1" applyBorder="1" applyAlignment="1">
      <alignment horizontal="center"/>
    </xf>
    <xf numFmtId="164" fontId="1" fillId="8" borderId="23" xfId="0" applyNumberFormat="1" applyFont="1" applyFill="1" applyBorder="1" applyAlignment="1">
      <alignment horizontal="left"/>
    </xf>
    <xf numFmtId="165" fontId="1" fillId="8" borderId="36" xfId="0" applyNumberFormat="1" applyFont="1" applyFill="1" applyBorder="1" applyAlignment="1">
      <alignment horizontal="center"/>
    </xf>
    <xf numFmtId="1" fontId="0" fillId="0" borderId="0" xfId="0" applyNumberFormat="1" applyAlignment="1">
      <alignment horizontal="center"/>
    </xf>
    <xf numFmtId="0" fontId="23" fillId="0" borderId="0" xfId="0" applyFont="1" applyAlignment="1">
      <alignment horizontal="center"/>
    </xf>
    <xf numFmtId="22" fontId="27" fillId="18" borderId="0" xfId="3" applyNumberFormat="1" applyFont="1" applyAlignment="1">
      <alignment horizontal="center"/>
    </xf>
    <xf numFmtId="0" fontId="27" fillId="18" borderId="0" xfId="3" applyFont="1" applyAlignment="1">
      <alignment horizontal="center"/>
    </xf>
    <xf numFmtId="14" fontId="27" fillId="18" borderId="0" xfId="3" applyNumberFormat="1" applyFont="1" applyAlignment="1">
      <alignment horizontal="center"/>
    </xf>
    <xf numFmtId="0" fontId="27" fillId="18" borderId="17" xfId="3" applyFont="1" applyBorder="1" applyAlignment="1">
      <alignment horizontal="center" vertical="center"/>
    </xf>
    <xf numFmtId="2" fontId="20" fillId="18" borderId="0" xfId="3" applyNumberFormat="1" applyAlignment="1">
      <alignment horizontal="center"/>
    </xf>
    <xf numFmtId="0" fontId="27" fillId="18" borderId="0" xfId="3" applyFont="1" applyBorder="1" applyAlignment="1">
      <alignment horizontal="center"/>
    </xf>
    <xf numFmtId="0" fontId="0" fillId="0" borderId="0" xfId="0" applyAlignment="1">
      <alignment horizontal="left" vertical="center"/>
    </xf>
    <xf numFmtId="0" fontId="0" fillId="0" borderId="5" xfId="0" applyBorder="1" applyAlignment="1">
      <alignment horizontal="center" vertical="top"/>
    </xf>
    <xf numFmtId="0" fontId="0" fillId="0" borderId="0" xfId="0" applyAlignment="1">
      <alignment horizontal="center" vertical="top"/>
    </xf>
    <xf numFmtId="0" fontId="28" fillId="22" borderId="0" xfId="6"/>
    <xf numFmtId="0" fontId="20" fillId="18" borderId="0" xfId="3" applyAlignment="1">
      <alignment horizontal="center"/>
    </xf>
    <xf numFmtId="0" fontId="29" fillId="23" borderId="41" xfId="7" applyAlignment="1">
      <alignment horizontal="center"/>
    </xf>
    <xf numFmtId="0" fontId="28" fillId="22" borderId="0" xfId="6" applyAlignment="1">
      <alignment horizontal="center"/>
    </xf>
    <xf numFmtId="0" fontId="27" fillId="18" borderId="12" xfId="3" applyFont="1" applyBorder="1" applyAlignment="1">
      <alignment horizontal="center"/>
    </xf>
    <xf numFmtId="0" fontId="0" fillId="3" borderId="0" xfId="0" applyFill="1" applyAlignment="1">
      <alignment horizontal="center"/>
    </xf>
    <xf numFmtId="164" fontId="1" fillId="8" borderId="23" xfId="0" applyNumberFormat="1" applyFont="1" applyFill="1" applyBorder="1" applyAlignment="1">
      <alignment horizontal="center"/>
    </xf>
    <xf numFmtId="0" fontId="30" fillId="0" borderId="0" xfId="8" applyAlignment="1">
      <alignment horizontal="center"/>
    </xf>
    <xf numFmtId="0" fontId="30" fillId="0" borderId="0" xfId="8"/>
    <xf numFmtId="0" fontId="23" fillId="0" borderId="0" xfId="0" applyFont="1"/>
    <xf numFmtId="0" fontId="23" fillId="0" borderId="0" xfId="0" applyFont="1" applyAlignment="1">
      <alignment horizontal="center" vertical="top"/>
    </xf>
    <xf numFmtId="0" fontId="0" fillId="0" borderId="0" xfId="0" applyAlignment="1">
      <alignment horizontal="left" vertical="top"/>
    </xf>
    <xf numFmtId="0" fontId="0" fillId="0" borderId="7" xfId="0" applyBorder="1" applyAlignment="1">
      <alignment horizontal="left" vertical="top" wrapText="1"/>
    </xf>
    <xf numFmtId="0" fontId="0" fillId="0" borderId="7" xfId="0" applyBorder="1" applyAlignment="1">
      <alignment horizontal="center" vertical="top"/>
    </xf>
    <xf numFmtId="0" fontId="0" fillId="0" borderId="42" xfId="0" applyBorder="1" applyAlignment="1">
      <alignment horizontal="left" vertical="top" wrapText="1"/>
    </xf>
    <xf numFmtId="0" fontId="0" fillId="0" borderId="42" xfId="0" applyBorder="1" applyAlignment="1">
      <alignment horizontal="center" vertical="top"/>
    </xf>
    <xf numFmtId="0" fontId="30" fillId="0" borderId="0" xfId="8" applyAlignment="1">
      <alignment horizontal="left" vertical="top"/>
    </xf>
    <xf numFmtId="0" fontId="0" fillId="0" borderId="0" xfId="0" applyAlignment="1">
      <alignment horizontal="center" vertical="top" wrapText="1"/>
    </xf>
    <xf numFmtId="0" fontId="16" fillId="0" borderId="0" xfId="0" applyFont="1" applyAlignment="1">
      <alignment horizontal="left" vertical="top"/>
    </xf>
    <xf numFmtId="0" fontId="0" fillId="0" borderId="34" xfId="0" applyBorder="1" applyAlignment="1">
      <alignment horizontal="center" vertical="top"/>
    </xf>
    <xf numFmtId="0" fontId="0" fillId="0" borderId="0" xfId="0" applyAlignment="1">
      <alignment horizontal="center" textRotation="90"/>
    </xf>
    <xf numFmtId="0" fontId="24" fillId="0" borderId="0" xfId="0" applyFont="1" applyAlignment="1">
      <alignment horizontal="center" vertical="top"/>
    </xf>
    <xf numFmtId="0" fontId="0" fillId="0" borderId="0" xfId="0" applyAlignment="1">
      <alignment textRotation="90" wrapText="1"/>
    </xf>
    <xf numFmtId="1" fontId="1" fillId="8" borderId="4" xfId="0" applyNumberFormat="1" applyFont="1" applyFill="1" applyBorder="1" applyAlignment="1">
      <alignment horizontal="center"/>
    </xf>
    <xf numFmtId="0" fontId="16" fillId="0" borderId="0" xfId="0" applyFont="1" applyAlignment="1">
      <alignment horizontal="left"/>
    </xf>
    <xf numFmtId="0" fontId="0" fillId="0" borderId="0" xfId="0" applyAlignment="1">
      <alignment horizontal="left" wrapText="1"/>
    </xf>
    <xf numFmtId="0" fontId="31" fillId="24" borderId="0" xfId="0" applyFont="1" applyFill="1" applyAlignment="1">
      <alignment horizontal="center" wrapText="1"/>
    </xf>
    <xf numFmtId="0" fontId="22" fillId="0" borderId="42" xfId="0" applyFont="1" applyBorder="1" applyAlignment="1">
      <alignment horizontal="left" vertical="top" wrapText="1"/>
    </xf>
    <xf numFmtId="0" fontId="22" fillId="0" borderId="34" xfId="0" applyFont="1" applyBorder="1" applyAlignment="1">
      <alignment horizontal="left" vertical="top" wrapText="1"/>
    </xf>
    <xf numFmtId="0" fontId="0" fillId="0" borderId="3" xfId="0" applyBorder="1" applyAlignment="1">
      <alignment horizontal="center" vertical="center" wrapText="1"/>
    </xf>
    <xf numFmtId="0" fontId="26" fillId="21" borderId="0" xfId="5" applyAlignment="1">
      <alignment horizontal="center"/>
    </xf>
    <xf numFmtId="1" fontId="26" fillId="21" borderId="0" xfId="5" applyNumberFormat="1" applyAlignment="1">
      <alignment horizontal="center"/>
    </xf>
    <xf numFmtId="1" fontId="26" fillId="21" borderId="28" xfId="5" applyNumberFormat="1" applyBorder="1" applyAlignment="1">
      <alignment horizontal="center"/>
    </xf>
    <xf numFmtId="1" fontId="26" fillId="21" borderId="29" xfId="5" applyNumberFormat="1" applyBorder="1" applyAlignment="1">
      <alignment horizontal="center"/>
    </xf>
    <xf numFmtId="165" fontId="30" fillId="0" borderId="0" xfId="8" applyNumberFormat="1"/>
    <xf numFmtId="166" fontId="30" fillId="0" borderId="0" xfId="8" applyNumberFormat="1"/>
    <xf numFmtId="0" fontId="0" fillId="0" borderId="0" xfId="0" applyAlignment="1">
      <alignment horizontal="center" wrapText="1"/>
    </xf>
    <xf numFmtId="0" fontId="0" fillId="0" borderId="42" xfId="0" applyBorder="1" applyAlignment="1">
      <alignment horizontal="left"/>
    </xf>
    <xf numFmtId="0" fontId="0" fillId="0" borderId="44" xfId="0" applyBorder="1" applyAlignment="1">
      <alignment horizontal="center"/>
    </xf>
    <xf numFmtId="0" fontId="23" fillId="0" borderId="42" xfId="0" applyFont="1" applyBorder="1" applyAlignment="1">
      <alignment horizontal="left"/>
    </xf>
    <xf numFmtId="0" fontId="16" fillId="0" borderId="42" xfId="0" applyFont="1" applyBorder="1" applyAlignment="1">
      <alignment horizontal="left"/>
    </xf>
    <xf numFmtId="1" fontId="1" fillId="8" borderId="0" xfId="0" applyNumberFormat="1" applyFont="1" applyFill="1" applyAlignment="1">
      <alignment horizontal="center"/>
    </xf>
    <xf numFmtId="165" fontId="1" fillId="8" borderId="0" xfId="0" applyNumberFormat="1" applyFont="1" applyFill="1" applyAlignment="1">
      <alignment horizontal="center"/>
    </xf>
    <xf numFmtId="0" fontId="16" fillId="0" borderId="1" xfId="0" applyFont="1" applyBorder="1" applyAlignment="1">
      <alignment horizontal="center" vertical="center"/>
    </xf>
    <xf numFmtId="0" fontId="37" fillId="0" borderId="1" xfId="1" applyFont="1" applyBorder="1" applyAlignment="1">
      <alignment horizontal="left" vertical="center"/>
    </xf>
    <xf numFmtId="0" fontId="16" fillId="0" borderId="1" xfId="0" applyFont="1" applyBorder="1" applyAlignment="1">
      <alignment horizontal="left" vertical="center"/>
    </xf>
    <xf numFmtId="0" fontId="35" fillId="0" borderId="45" xfId="0" applyFont="1" applyBorder="1" applyAlignment="1">
      <alignment vertical="center"/>
    </xf>
    <xf numFmtId="166" fontId="30" fillId="0" borderId="0" xfId="8" applyNumberFormat="1" applyAlignment="1">
      <alignment horizontal="center"/>
    </xf>
    <xf numFmtId="0" fontId="16" fillId="0" borderId="0" xfId="0" applyFont="1" applyAlignment="1">
      <alignment horizontal="left" vertical="center" indent="1"/>
    </xf>
    <xf numFmtId="0" fontId="0" fillId="8" borderId="43" xfId="0" applyFill="1" applyBorder="1" applyAlignment="1">
      <alignment horizontal="center"/>
    </xf>
    <xf numFmtId="0" fontId="16" fillId="14" borderId="1" xfId="0" applyFont="1" applyFill="1" applyBorder="1" applyAlignment="1">
      <alignment horizontal="left" vertical="center"/>
    </xf>
    <xf numFmtId="0" fontId="30" fillId="14" borderId="0" xfId="8" applyFill="1" applyAlignment="1">
      <alignment horizontal="center"/>
    </xf>
    <xf numFmtId="165" fontId="30" fillId="14" borderId="0" xfId="8" applyNumberFormat="1" applyFill="1"/>
    <xf numFmtId="0" fontId="0" fillId="14" borderId="3" xfId="0" applyFill="1" applyBorder="1" applyAlignment="1">
      <alignment horizontal="center" vertical="center"/>
    </xf>
    <xf numFmtId="0" fontId="39" fillId="0" borderId="0" xfId="0" applyFont="1"/>
    <xf numFmtId="0" fontId="40" fillId="18" borderId="8" xfId="3" applyFont="1" applyBorder="1" applyAlignment="1">
      <alignment horizontal="center" vertical="center"/>
    </xf>
    <xf numFmtId="0" fontId="40" fillId="18" borderId="2" xfId="3" applyFont="1" applyBorder="1" applyAlignment="1">
      <alignment horizontal="center" vertical="center"/>
    </xf>
    <xf numFmtId="168" fontId="40" fillId="18" borderId="2" xfId="3" applyNumberFormat="1" applyFont="1" applyBorder="1" applyAlignment="1">
      <alignment horizontal="center" vertical="center"/>
    </xf>
    <xf numFmtId="0" fontId="40" fillId="18" borderId="24" xfId="3" applyFont="1" applyBorder="1" applyAlignment="1">
      <alignment horizontal="center" vertical="center" wrapText="1"/>
    </xf>
    <xf numFmtId="0" fontId="40" fillId="18" borderId="0" xfId="3" applyFont="1" applyBorder="1" applyAlignment="1">
      <alignment horizontal="center" vertical="center"/>
    </xf>
    <xf numFmtId="0" fontId="40" fillId="18" borderId="2" xfId="3" applyFont="1" applyBorder="1" applyAlignment="1">
      <alignment horizontal="center" vertical="top" wrapText="1"/>
    </xf>
    <xf numFmtId="0" fontId="40" fillId="18" borderId="2" xfId="3" applyFont="1" applyBorder="1" applyAlignment="1">
      <alignment horizontal="center" vertical="center" wrapText="1"/>
    </xf>
    <xf numFmtId="0" fontId="40" fillId="18" borderId="24" xfId="3" applyFont="1" applyBorder="1" applyAlignment="1">
      <alignment horizontal="center" vertical="center"/>
    </xf>
    <xf numFmtId="0" fontId="41" fillId="18" borderId="2" xfId="3" applyFont="1" applyBorder="1" applyAlignment="1">
      <alignment horizontal="center" vertical="center"/>
    </xf>
    <xf numFmtId="0" fontId="42" fillId="0" borderId="1" xfId="0" applyFont="1" applyBorder="1" applyAlignment="1">
      <alignment horizontal="center" vertical="center"/>
    </xf>
    <xf numFmtId="1" fontId="42" fillId="0" borderId="1" xfId="0" applyNumberFormat="1" applyFont="1" applyBorder="1" applyAlignment="1">
      <alignment horizontal="center" vertical="center"/>
    </xf>
    <xf numFmtId="0" fontId="42" fillId="0" borderId="0" xfId="0" applyFont="1" applyAlignment="1">
      <alignment horizontal="left"/>
    </xf>
    <xf numFmtId="2" fontId="42" fillId="0" borderId="1" xfId="0" applyNumberFormat="1" applyFont="1" applyBorder="1" applyAlignment="1">
      <alignment horizontal="center" vertical="center"/>
    </xf>
    <xf numFmtId="0" fontId="43" fillId="0" borderId="0" xfId="1" applyFont="1" applyBorder="1" applyAlignment="1">
      <alignment horizontal="center" vertical="center"/>
    </xf>
    <xf numFmtId="0" fontId="42" fillId="0" borderId="1" xfId="0" applyFont="1" applyBorder="1" applyAlignment="1">
      <alignment horizontal="left" vertical="center" wrapText="1"/>
    </xf>
    <xf numFmtId="0" fontId="42" fillId="0" borderId="5" xfId="0" applyFont="1" applyBorder="1" applyAlignment="1">
      <alignment horizontal="left" vertical="center" wrapText="1"/>
    </xf>
    <xf numFmtId="0" fontId="42" fillId="4" borderId="23" xfId="0" applyFont="1" applyFill="1" applyBorder="1" applyAlignment="1">
      <alignment horizontal="center" vertical="center"/>
    </xf>
    <xf numFmtId="0" fontId="42" fillId="4" borderId="1" xfId="0" applyFont="1" applyFill="1" applyBorder="1" applyAlignment="1">
      <alignment horizontal="center" vertical="center"/>
    </xf>
    <xf numFmtId="0" fontId="42" fillId="0" borderId="1" xfId="0" applyFont="1" applyBorder="1" applyAlignment="1">
      <alignment horizontal="left" vertical="center"/>
    </xf>
    <xf numFmtId="0" fontId="42" fillId="0" borderId="0" xfId="0" applyFont="1" applyAlignment="1">
      <alignment horizontal="center" vertical="center"/>
    </xf>
    <xf numFmtId="21" fontId="42" fillId="0" borderId="1" xfId="0" applyNumberFormat="1" applyFont="1" applyBorder="1" applyAlignment="1">
      <alignment horizontal="center" vertical="center"/>
    </xf>
    <xf numFmtId="0" fontId="42" fillId="0" borderId="0" xfId="0" applyFont="1" applyAlignment="1">
      <alignment horizontal="center"/>
    </xf>
    <xf numFmtId="0" fontId="42" fillId="0" borderId="5" xfId="0" applyFont="1" applyBorder="1" applyAlignment="1">
      <alignment horizontal="left" vertical="center"/>
    </xf>
    <xf numFmtId="21" fontId="42" fillId="0" borderId="5" xfId="0" applyNumberFormat="1" applyFont="1" applyBorder="1" applyAlignment="1">
      <alignment horizontal="center" vertical="center"/>
    </xf>
    <xf numFmtId="0" fontId="42" fillId="0" borderId="1" xfId="0" applyFont="1" applyBorder="1" applyAlignment="1">
      <alignment horizontal="center"/>
    </xf>
    <xf numFmtId="0" fontId="42" fillId="0" borderId="5" xfId="0" applyFont="1" applyBorder="1" applyAlignment="1">
      <alignment horizontal="center" vertical="center"/>
    </xf>
    <xf numFmtId="21" fontId="44" fillId="0" borderId="5" xfId="0" applyNumberFormat="1" applyFont="1" applyBorder="1" applyAlignment="1">
      <alignment horizontal="center" vertical="center"/>
    </xf>
    <xf numFmtId="21" fontId="44" fillId="0" borderId="1" xfId="0" applyNumberFormat="1" applyFont="1" applyBorder="1" applyAlignment="1">
      <alignment horizontal="center" vertical="center"/>
    </xf>
    <xf numFmtId="2" fontId="42" fillId="0" borderId="0" xfId="0" applyNumberFormat="1" applyFont="1" applyAlignment="1">
      <alignment horizontal="center" vertical="center"/>
    </xf>
    <xf numFmtId="2" fontId="42" fillId="0" borderId="0" xfId="0" applyNumberFormat="1" applyFont="1" applyAlignment="1">
      <alignment horizontal="center"/>
    </xf>
    <xf numFmtId="2" fontId="42" fillId="0" borderId="1" xfId="0" applyNumberFormat="1" applyFont="1" applyBorder="1" applyAlignment="1">
      <alignment horizontal="center"/>
    </xf>
    <xf numFmtId="0" fontId="42" fillId="20" borderId="1" xfId="0" applyFont="1" applyFill="1" applyBorder="1" applyAlignment="1">
      <alignment horizontal="center" vertical="center"/>
    </xf>
    <xf numFmtId="2" fontId="42" fillId="20" borderId="1" xfId="0" applyNumberFormat="1" applyFont="1" applyFill="1" applyBorder="1" applyAlignment="1">
      <alignment horizontal="center" vertical="center"/>
    </xf>
    <xf numFmtId="0" fontId="42" fillId="0" borderId="3" xfId="0" applyFont="1" applyBorder="1" applyAlignment="1">
      <alignment horizontal="center" vertical="center"/>
    </xf>
    <xf numFmtId="0" fontId="42" fillId="20" borderId="1" xfId="0" applyFont="1" applyFill="1" applyBorder="1" applyAlignment="1">
      <alignment horizontal="left" vertical="center" wrapText="1"/>
    </xf>
    <xf numFmtId="0" fontId="42" fillId="20" borderId="0" xfId="0" applyFont="1" applyFill="1" applyAlignment="1">
      <alignment horizontal="center" vertical="center"/>
    </xf>
    <xf numFmtId="21" fontId="44" fillId="20" borderId="1" xfId="0" applyNumberFormat="1" applyFont="1" applyFill="1" applyBorder="1" applyAlignment="1">
      <alignment horizontal="center" vertical="center"/>
    </xf>
    <xf numFmtId="21" fontId="42" fillId="0" borderId="3" xfId="0" applyNumberFormat="1" applyFont="1" applyBorder="1" applyAlignment="1">
      <alignment horizontal="center" vertical="center"/>
    </xf>
    <xf numFmtId="21" fontId="42" fillId="0" borderId="0" xfId="0" applyNumberFormat="1" applyFont="1" applyAlignment="1">
      <alignment horizontal="center" vertical="center"/>
    </xf>
    <xf numFmtId="0" fontId="42" fillId="4" borderId="5" xfId="0" applyFont="1" applyFill="1" applyBorder="1" applyAlignment="1">
      <alignment horizontal="center" vertical="center"/>
    </xf>
    <xf numFmtId="0" fontId="42" fillId="0" borderId="1" xfId="0" applyFont="1" applyBorder="1" applyAlignment="1">
      <alignment horizontal="center" vertical="top"/>
    </xf>
    <xf numFmtId="0" fontId="42" fillId="0" borderId="0" xfId="0" applyFont="1" applyAlignment="1">
      <alignment horizontal="center" vertical="top"/>
    </xf>
    <xf numFmtId="0" fontId="42" fillId="0" borderId="5" xfId="0" applyFont="1" applyBorder="1" applyAlignment="1">
      <alignment horizontal="left" vertical="top" wrapText="1"/>
    </xf>
    <xf numFmtId="0" fontId="42" fillId="4" borderId="1" xfId="0" applyFont="1" applyFill="1" applyBorder="1" applyAlignment="1">
      <alignment horizontal="center" vertical="top"/>
    </xf>
    <xf numFmtId="21" fontId="42" fillId="0" borderId="0" xfId="0" applyNumberFormat="1" applyFont="1" applyAlignment="1">
      <alignment horizontal="center" vertical="top"/>
    </xf>
    <xf numFmtId="0" fontId="45" fillId="0" borderId="0" xfId="8" applyFont="1" applyAlignment="1">
      <alignment horizontal="center"/>
    </xf>
    <xf numFmtId="0" fontId="45" fillId="0" borderId="0" xfId="9" applyFont="1" applyAlignment="1">
      <alignment horizontal="center"/>
    </xf>
    <xf numFmtId="1" fontId="42" fillId="0" borderId="5" xfId="0" applyNumberFormat="1" applyFont="1" applyBorder="1" applyAlignment="1">
      <alignment horizontal="center" vertical="center"/>
    </xf>
    <xf numFmtId="2" fontId="45" fillId="0" borderId="1" xfId="9" applyNumberFormat="1" applyFont="1" applyBorder="1" applyAlignment="1">
      <alignment horizontal="center" vertical="center"/>
    </xf>
    <xf numFmtId="0" fontId="42" fillId="4" borderId="4" xfId="0" applyFont="1" applyFill="1" applyBorder="1" applyAlignment="1">
      <alignment horizontal="center" vertical="center"/>
    </xf>
    <xf numFmtId="0" fontId="45" fillId="0" borderId="0" xfId="9" applyFont="1" applyAlignment="1">
      <alignment horizontal="center" vertical="center"/>
    </xf>
    <xf numFmtId="168" fontId="42" fillId="0" borderId="0" xfId="0" applyNumberFormat="1" applyFont="1" applyAlignment="1">
      <alignment horizontal="center"/>
    </xf>
    <xf numFmtId="0" fontId="29" fillId="23" borderId="41" xfId="7" applyNumberFormat="1" applyAlignment="1">
      <alignment horizontal="center"/>
    </xf>
    <xf numFmtId="0" fontId="1" fillId="0" borderId="46" xfId="0" applyFont="1" applyBorder="1" applyAlignment="1">
      <alignment horizontal="left"/>
    </xf>
    <xf numFmtId="0" fontId="0" fillId="25" borderId="0" xfId="0" applyFill="1"/>
    <xf numFmtId="22" fontId="0" fillId="25" borderId="0" xfId="0" applyNumberFormat="1" applyFill="1"/>
    <xf numFmtId="0" fontId="0" fillId="8" borderId="44" xfId="0" applyFill="1" applyBorder="1"/>
    <xf numFmtId="0" fontId="0" fillId="8" borderId="42" xfId="0" applyFill="1" applyBorder="1"/>
    <xf numFmtId="0" fontId="31" fillId="25" borderId="47" xfId="0" applyFont="1" applyFill="1" applyBorder="1" applyAlignment="1">
      <alignment horizontal="center"/>
    </xf>
    <xf numFmtId="0" fontId="31" fillId="25" borderId="34" xfId="0" applyFont="1" applyFill="1" applyBorder="1"/>
    <xf numFmtId="0" fontId="31" fillId="25" borderId="48" xfId="0" applyFont="1" applyFill="1" applyBorder="1"/>
    <xf numFmtId="0" fontId="0" fillId="0" borderId="0" xfId="0" applyAlignment="1">
      <alignment horizontal="right"/>
    </xf>
    <xf numFmtId="0" fontId="0" fillId="8" borderId="42" xfId="0" applyFill="1" applyBorder="1" applyAlignment="1">
      <alignment horizontal="center"/>
    </xf>
    <xf numFmtId="0" fontId="31" fillId="25" borderId="34" xfId="0" applyFont="1" applyFill="1" applyBorder="1" applyAlignment="1">
      <alignment horizontal="center"/>
    </xf>
    <xf numFmtId="0" fontId="0" fillId="26" borderId="43" xfId="0" applyFill="1" applyBorder="1" applyAlignment="1">
      <alignment horizontal="center"/>
    </xf>
    <xf numFmtId="0" fontId="0" fillId="11" borderId="0" xfId="0" applyFill="1" applyAlignment="1">
      <alignment horizontal="center"/>
    </xf>
    <xf numFmtId="0" fontId="0" fillId="27" borderId="0" xfId="0" applyFill="1" applyAlignment="1">
      <alignment horizontal="center"/>
    </xf>
    <xf numFmtId="0" fontId="45" fillId="0" borderId="1" xfId="4" applyFont="1" applyBorder="1" applyAlignment="1">
      <alignment horizontal="center"/>
    </xf>
    <xf numFmtId="1" fontId="42" fillId="0" borderId="1" xfId="0" applyNumberFormat="1" applyFont="1" applyBorder="1" applyAlignment="1">
      <alignment horizontal="center" vertical="top"/>
    </xf>
    <xf numFmtId="0" fontId="48" fillId="28" borderId="0" xfId="0" applyFont="1" applyFill="1" applyAlignment="1">
      <alignment horizontal="left" vertical="center" wrapText="1"/>
    </xf>
    <xf numFmtId="0" fontId="0" fillId="0" borderId="0" xfId="0" applyAlignment="1">
      <alignment vertical="center"/>
    </xf>
    <xf numFmtId="0" fontId="0" fillId="0" borderId="0" xfId="0" applyAlignment="1">
      <alignment vertical="center" wrapText="1"/>
    </xf>
    <xf numFmtId="0" fontId="51" fillId="0" borderId="0" xfId="0" applyFont="1" applyAlignment="1">
      <alignment vertical="center" wrapText="1"/>
    </xf>
    <xf numFmtId="0" fontId="0" fillId="0" borderId="42" xfId="0" applyBorder="1"/>
    <xf numFmtId="0" fontId="0" fillId="3" borderId="4" xfId="0" applyFill="1" applyBorder="1" applyAlignment="1">
      <alignment horizontal="center" vertical="center"/>
    </xf>
    <xf numFmtId="14" fontId="0" fillId="3" borderId="1" xfId="0" applyNumberFormat="1" applyFill="1" applyBorder="1" applyAlignment="1">
      <alignment horizontal="center" vertical="center"/>
    </xf>
    <xf numFmtId="0" fontId="0" fillId="3" borderId="6" xfId="0" applyFill="1" applyBorder="1" applyAlignment="1">
      <alignment horizontal="center" vertical="center"/>
    </xf>
    <xf numFmtId="165" fontId="0" fillId="3" borderId="3" xfId="0" applyNumberFormat="1" applyFill="1" applyBorder="1" applyAlignment="1">
      <alignment horizontal="center" vertical="center"/>
    </xf>
    <xf numFmtId="1" fontId="0" fillId="3" borderId="2" xfId="0" applyNumberFormat="1" applyFill="1" applyBorder="1" applyAlignment="1">
      <alignment horizontal="center" vertical="center"/>
    </xf>
    <xf numFmtId="0" fontId="42" fillId="0" borderId="5" xfId="0" applyFont="1" applyBorder="1" applyAlignment="1">
      <alignment horizontal="center" vertical="center" wrapText="1"/>
    </xf>
    <xf numFmtId="0" fontId="0" fillId="0" borderId="0" xfId="0" applyAlignment="1">
      <alignment horizontal="left" vertical="center" wrapText="1"/>
    </xf>
    <xf numFmtId="1" fontId="0" fillId="14" borderId="0" xfId="0" applyNumberFormat="1" applyFill="1"/>
    <xf numFmtId="0" fontId="0" fillId="14" borderId="0" xfId="0" applyFill="1"/>
    <xf numFmtId="22" fontId="0" fillId="14" borderId="0" xfId="0" applyNumberFormat="1" applyFill="1"/>
    <xf numFmtId="0" fontId="0" fillId="14" borderId="0" xfId="0" applyFill="1" applyAlignment="1">
      <alignment horizontal="center" textRotation="90"/>
    </xf>
    <xf numFmtId="0" fontId="31" fillId="25" borderId="34" xfId="0" applyFont="1" applyFill="1" applyBorder="1" applyAlignment="1">
      <alignment horizontal="center" textRotation="90"/>
    </xf>
    <xf numFmtId="0" fontId="0" fillId="14" borderId="0" xfId="0" applyFill="1" applyAlignment="1">
      <alignment horizontal="left"/>
    </xf>
    <xf numFmtId="0" fontId="52" fillId="3" borderId="0" xfId="0" applyFont="1" applyFill="1" applyAlignment="1">
      <alignment horizontal="center"/>
    </xf>
    <xf numFmtId="0" fontId="52" fillId="3" borderId="0" xfId="0" applyFont="1" applyFill="1" applyAlignment="1">
      <alignment horizontal="center" wrapText="1"/>
    </xf>
    <xf numFmtId="0" fontId="0" fillId="29" borderId="0" xfId="0" applyFill="1" applyAlignment="1">
      <alignment horizontal="left"/>
    </xf>
    <xf numFmtId="0" fontId="0" fillId="11" borderId="0" xfId="0" applyFill="1" applyAlignment="1">
      <alignment vertical="center"/>
    </xf>
    <xf numFmtId="0" fontId="0" fillId="0" borderId="46" xfId="0" applyBorder="1"/>
    <xf numFmtId="0" fontId="54" fillId="0" borderId="0" xfId="0" applyFont="1"/>
    <xf numFmtId="0" fontId="7" fillId="0" borderId="0" xfId="0" applyFont="1" applyAlignment="1">
      <alignment horizontal="left" readingOrder="1"/>
    </xf>
    <xf numFmtId="0" fontId="31" fillId="25" borderId="34" xfId="0" applyFont="1" applyFill="1" applyBorder="1" applyAlignment="1">
      <alignment horizontal="center" vertical="top" textRotation="90"/>
    </xf>
    <xf numFmtId="168" fontId="0" fillId="14" borderId="0" xfId="0" applyNumberFormat="1" applyFill="1" applyAlignment="1">
      <alignment horizontal="center"/>
    </xf>
    <xf numFmtId="174" fontId="0" fillId="14" borderId="0" xfId="0" applyNumberFormat="1" applyFill="1" applyAlignment="1">
      <alignment horizontal="left"/>
    </xf>
    <xf numFmtId="0" fontId="55" fillId="0" borderId="0" xfId="0" applyFont="1"/>
    <xf numFmtId="0" fontId="42" fillId="0" borderId="1" xfId="0" applyFont="1" applyBorder="1" applyAlignment="1">
      <alignment horizontal="center" vertical="center" wrapText="1"/>
    </xf>
    <xf numFmtId="164" fontId="42" fillId="0" borderId="1" xfId="0" applyNumberFormat="1" applyFont="1" applyBorder="1" applyAlignment="1" applyProtection="1">
      <alignment horizontal="center"/>
      <protection locked="0"/>
    </xf>
    <xf numFmtId="0" fontId="49" fillId="0" borderId="0" xfId="0" applyFont="1" applyAlignment="1">
      <alignment horizontal="center"/>
    </xf>
    <xf numFmtId="0" fontId="42" fillId="0" borderId="6" xfId="0" applyFont="1" applyBorder="1" applyAlignment="1">
      <alignment horizontal="center" vertical="center"/>
    </xf>
    <xf numFmtId="168" fontId="42" fillId="0" borderId="1" xfId="0" applyNumberFormat="1" applyFont="1" applyBorder="1" applyAlignment="1">
      <alignment horizontal="center" vertical="center"/>
    </xf>
    <xf numFmtId="173" fontId="42" fillId="0" borderId="1" xfId="0" applyNumberFormat="1" applyFont="1" applyBorder="1" applyAlignment="1">
      <alignment horizontal="center" vertical="center"/>
    </xf>
    <xf numFmtId="0" fontId="42" fillId="0" borderId="23" xfId="0" applyFont="1" applyBorder="1" applyAlignment="1">
      <alignment horizontal="center" vertical="center" wrapText="1"/>
    </xf>
    <xf numFmtId="173" fontId="42" fillId="0" borderId="1" xfId="0" applyNumberFormat="1" applyFont="1" applyBorder="1" applyAlignment="1">
      <alignment horizontal="center"/>
    </xf>
    <xf numFmtId="173" fontId="42" fillId="0" borderId="0" xfId="0" applyNumberFormat="1" applyFont="1" applyAlignment="1">
      <alignment horizontal="center" vertical="center"/>
    </xf>
    <xf numFmtId="173" fontId="42" fillId="0" borderId="0" xfId="0" applyNumberFormat="1" applyFont="1" applyAlignment="1">
      <alignment horizontal="center"/>
    </xf>
    <xf numFmtId="0" fontId="45" fillId="0" borderId="0" xfId="4" applyFont="1" applyAlignment="1">
      <alignment horizontal="center"/>
    </xf>
    <xf numFmtId="0" fontId="42" fillId="20" borderId="0" xfId="0" applyFont="1" applyFill="1" applyAlignment="1">
      <alignment horizontal="center"/>
    </xf>
    <xf numFmtId="0" fontId="45" fillId="20" borderId="0" xfId="4" applyFont="1" applyFill="1" applyAlignment="1">
      <alignment horizontal="center"/>
    </xf>
    <xf numFmtId="173" fontId="45" fillId="20" borderId="0" xfId="4" applyNumberFormat="1" applyFont="1" applyFill="1" applyAlignment="1">
      <alignment horizontal="center"/>
    </xf>
    <xf numFmtId="0" fontId="42" fillId="20" borderId="1" xfId="0" applyFont="1" applyFill="1" applyBorder="1" applyAlignment="1">
      <alignment horizontal="center" vertical="center" wrapText="1"/>
    </xf>
    <xf numFmtId="173" fontId="45" fillId="0" borderId="0" xfId="4" applyNumberFormat="1" applyFont="1" applyAlignment="1">
      <alignment horizontal="center"/>
    </xf>
    <xf numFmtId="0" fontId="45" fillId="0" borderId="6" xfId="4" applyFont="1" applyBorder="1" applyAlignment="1">
      <alignment horizontal="center"/>
    </xf>
    <xf numFmtId="0" fontId="42" fillId="0" borderId="6" xfId="0" applyFont="1" applyBorder="1" applyAlignment="1">
      <alignment horizontal="center"/>
    </xf>
    <xf numFmtId="172" fontId="42" fillId="0" borderId="0" xfId="0" applyNumberFormat="1" applyFont="1" applyAlignment="1">
      <alignment horizontal="center"/>
    </xf>
    <xf numFmtId="0" fontId="42" fillId="0" borderId="0" xfId="0" applyFont="1" applyAlignment="1">
      <alignment horizontal="center" vertical="center" wrapText="1"/>
    </xf>
    <xf numFmtId="172" fontId="42" fillId="0" borderId="1" xfId="0" applyNumberFormat="1" applyFont="1" applyBorder="1" applyAlignment="1">
      <alignment horizontal="center"/>
    </xf>
    <xf numFmtId="168" fontId="46" fillId="20" borderId="1" xfId="5" applyNumberFormat="1" applyFont="1" applyFill="1" applyBorder="1" applyAlignment="1">
      <alignment horizontal="center" vertical="center"/>
    </xf>
    <xf numFmtId="0" fontId="42" fillId="0" borderId="25" xfId="0" applyFont="1" applyBorder="1" applyAlignment="1">
      <alignment horizontal="center"/>
    </xf>
    <xf numFmtId="168" fontId="42" fillId="0" borderId="0" xfId="0" applyNumberFormat="1" applyFont="1" applyAlignment="1">
      <alignment horizontal="center" vertical="center"/>
    </xf>
    <xf numFmtId="0" fontId="42" fillId="0" borderId="6" xfId="0" applyFont="1" applyBorder="1" applyAlignment="1">
      <alignment horizontal="center" vertical="top"/>
    </xf>
    <xf numFmtId="168" fontId="42" fillId="0" borderId="1" xfId="0" applyNumberFormat="1" applyFont="1" applyBorder="1" applyAlignment="1">
      <alignment horizontal="center" vertical="top"/>
    </xf>
    <xf numFmtId="0" fontId="42" fillId="0" borderId="1" xfId="0" applyFont="1" applyBorder="1" applyAlignment="1">
      <alignment horizontal="center" vertical="top" wrapText="1"/>
    </xf>
    <xf numFmtId="0" fontId="45" fillId="0" borderId="6" xfId="8" applyFont="1" applyBorder="1" applyAlignment="1">
      <alignment horizontal="center" vertical="center"/>
    </xf>
    <xf numFmtId="172" fontId="45" fillId="0" borderId="0" xfId="8" applyNumberFormat="1" applyFont="1" applyAlignment="1">
      <alignment horizontal="center"/>
    </xf>
    <xf numFmtId="0" fontId="42" fillId="0" borderId="25" xfId="0" applyFont="1" applyBorder="1" applyAlignment="1">
      <alignment horizontal="center" vertical="center" wrapText="1"/>
    </xf>
    <xf numFmtId="0" fontId="42" fillId="0" borderId="29" xfId="0" applyFont="1" applyBorder="1" applyAlignment="1">
      <alignment horizontal="center" vertical="center" wrapText="1"/>
    </xf>
    <xf numFmtId="0" fontId="45" fillId="0" borderId="25" xfId="8" applyFont="1" applyBorder="1" applyAlignment="1">
      <alignment horizontal="center" vertical="center"/>
    </xf>
    <xf numFmtId="0" fontId="42" fillId="0" borderId="25" xfId="0" applyFont="1" applyBorder="1" applyAlignment="1">
      <alignment horizontal="center" vertical="center"/>
    </xf>
    <xf numFmtId="172" fontId="45" fillId="0" borderId="0" xfId="9" applyNumberFormat="1" applyFont="1" applyAlignment="1">
      <alignment horizontal="center"/>
    </xf>
    <xf numFmtId="0" fontId="45" fillId="0" borderId="6" xfId="9" applyFont="1" applyBorder="1" applyAlignment="1">
      <alignment horizontal="center" vertical="center"/>
    </xf>
    <xf numFmtId="0" fontId="42" fillId="0" borderId="3" xfId="0" applyFont="1" applyBorder="1" applyAlignment="1">
      <alignment horizontal="center" vertical="center" wrapText="1"/>
    </xf>
    <xf numFmtId="0" fontId="45" fillId="0" borderId="25" xfId="9" applyFont="1" applyBorder="1" applyAlignment="1">
      <alignment horizontal="center" vertical="center"/>
    </xf>
    <xf numFmtId="173" fontId="45" fillId="0" borderId="1" xfId="9" applyNumberFormat="1" applyFont="1" applyBorder="1" applyAlignment="1">
      <alignment horizontal="center" vertical="center"/>
    </xf>
    <xf numFmtId="172" fontId="45" fillId="0" borderId="0" xfId="9" applyNumberFormat="1" applyFont="1" applyAlignment="1">
      <alignment horizontal="center" vertical="center"/>
    </xf>
    <xf numFmtId="21" fontId="45" fillId="0" borderId="0" xfId="9" applyNumberFormat="1" applyFont="1" applyAlignment="1">
      <alignment horizontal="center" vertical="center"/>
    </xf>
    <xf numFmtId="168" fontId="45" fillId="0" borderId="1" xfId="9" applyNumberFormat="1" applyFont="1" applyBorder="1" applyAlignment="1">
      <alignment horizontal="center" vertical="center"/>
    </xf>
    <xf numFmtId="168" fontId="45" fillId="0" borderId="5" xfId="9" applyNumberFormat="1" applyFont="1" applyBorder="1" applyAlignment="1">
      <alignment horizontal="center" vertical="center"/>
    </xf>
    <xf numFmtId="173" fontId="45" fillId="0" borderId="5" xfId="9" applyNumberFormat="1" applyFont="1" applyBorder="1" applyAlignment="1">
      <alignment horizontal="center" vertical="center"/>
    </xf>
    <xf numFmtId="0" fontId="12" fillId="0" borderId="0" xfId="1" applyBorder="1" applyAlignment="1">
      <alignment horizontal="center" vertical="center"/>
    </xf>
    <xf numFmtId="0" fontId="45" fillId="0" borderId="1" xfId="4" applyFont="1" applyBorder="1" applyAlignment="1">
      <alignment horizontal="right" vertical="center"/>
    </xf>
    <xf numFmtId="0" fontId="45" fillId="0" borderId="5" xfId="4" applyFont="1" applyBorder="1" applyAlignment="1">
      <alignment horizontal="right" vertical="center"/>
    </xf>
    <xf numFmtId="1" fontId="42" fillId="0" borderId="3" xfId="0" applyNumberFormat="1" applyFont="1" applyBorder="1" applyAlignment="1">
      <alignment horizontal="center" vertical="center"/>
    </xf>
    <xf numFmtId="0" fontId="42" fillId="4" borderId="3" xfId="0" applyFont="1" applyFill="1" applyBorder="1" applyAlignment="1">
      <alignment horizontal="center" vertical="center"/>
    </xf>
    <xf numFmtId="0" fontId="45" fillId="0" borderId="0" xfId="8" applyFont="1" applyAlignment="1">
      <alignment horizontal="center" vertical="center"/>
    </xf>
    <xf numFmtId="1" fontId="42" fillId="0" borderId="0" xfId="0" applyNumberFormat="1" applyFont="1" applyAlignment="1">
      <alignment horizontal="center" vertical="center"/>
    </xf>
    <xf numFmtId="0" fontId="45" fillId="0" borderId="0" xfId="4" applyFont="1" applyAlignment="1">
      <alignment horizontal="right" vertical="center"/>
    </xf>
    <xf numFmtId="172" fontId="30" fillId="0" borderId="0" xfId="8" applyNumberFormat="1" applyAlignment="1">
      <alignment horizontal="center"/>
    </xf>
    <xf numFmtId="0" fontId="30" fillId="0" borderId="0" xfId="8" applyAlignment="1">
      <alignment horizontal="left"/>
    </xf>
    <xf numFmtId="2" fontId="30" fillId="0" borderId="0" xfId="8" applyNumberFormat="1" applyAlignment="1">
      <alignment horizontal="center"/>
    </xf>
    <xf numFmtId="0" fontId="42" fillId="0" borderId="0" xfId="0" applyFont="1" applyAlignment="1">
      <alignment horizontal="left" vertical="center" wrapText="1"/>
    </xf>
    <xf numFmtId="0" fontId="42" fillId="4" borderId="0" xfId="0" applyFont="1" applyFill="1" applyAlignment="1">
      <alignment horizontal="center" vertical="center"/>
    </xf>
    <xf numFmtId="21" fontId="50" fillId="0" borderId="0" xfId="0" applyNumberFormat="1" applyFont="1" applyAlignment="1">
      <alignment horizontal="left" vertical="center"/>
    </xf>
    <xf numFmtId="0" fontId="42" fillId="0" borderId="0" xfId="0" applyFont="1" applyAlignment="1">
      <alignment vertical="center"/>
    </xf>
    <xf numFmtId="173" fontId="42" fillId="0" borderId="0" xfId="0" applyNumberFormat="1" applyFont="1" applyAlignment="1">
      <alignment horizontal="left" vertical="center"/>
    </xf>
    <xf numFmtId="0" fontId="34" fillId="0" borderId="0" xfId="0" applyFont="1" applyAlignment="1">
      <alignment horizontal="center"/>
    </xf>
    <xf numFmtId="14" fontId="42" fillId="0" borderId="0" xfId="0" applyNumberFormat="1" applyFont="1" applyAlignment="1">
      <alignment horizontal="center" vertical="center"/>
    </xf>
    <xf numFmtId="0" fontId="53" fillId="0" borderId="0" xfId="0" applyFont="1" applyAlignment="1">
      <alignment horizontal="center"/>
    </xf>
    <xf numFmtId="0" fontId="42" fillId="0" borderId="0" xfId="0" applyFont="1" applyAlignment="1">
      <alignment horizontal="left" vertical="center"/>
    </xf>
    <xf numFmtId="14" fontId="0" fillId="0" borderId="0" xfId="0" applyNumberFormat="1" applyAlignment="1">
      <alignment horizontal="center"/>
    </xf>
    <xf numFmtId="175" fontId="0" fillId="0" borderId="0" xfId="0" applyNumberFormat="1" applyAlignment="1">
      <alignment horizontal="left"/>
    </xf>
    <xf numFmtId="2" fontId="0" fillId="0" borderId="0" xfId="0" applyNumberFormat="1" applyAlignment="1">
      <alignment horizontal="center"/>
    </xf>
    <xf numFmtId="0" fontId="56" fillId="0" borderId="0" xfId="10" applyAlignment="1">
      <alignment horizontal="center"/>
    </xf>
    <xf numFmtId="14" fontId="56" fillId="0" borderId="0" xfId="10" applyNumberFormat="1" applyAlignment="1">
      <alignment horizontal="center"/>
    </xf>
    <xf numFmtId="175" fontId="56" fillId="0" borderId="0" xfId="10" applyNumberFormat="1" applyAlignment="1">
      <alignment horizontal="left"/>
    </xf>
    <xf numFmtId="2" fontId="56" fillId="0" borderId="0" xfId="10" applyNumberFormat="1" applyAlignment="1">
      <alignment horizontal="center"/>
    </xf>
    <xf numFmtId="0" fontId="56" fillId="0" borderId="0" xfId="10"/>
    <xf numFmtId="0" fontId="57" fillId="0" borderId="0" xfId="8" applyFont="1" applyAlignment="1">
      <alignment horizontal="center" vertical="center"/>
    </xf>
    <xf numFmtId="0" fontId="57" fillId="0" borderId="0" xfId="0" applyFont="1" applyAlignment="1">
      <alignment horizontal="center" vertical="center" wrapText="1"/>
    </xf>
    <xf numFmtId="173" fontId="0" fillId="0" borderId="0" xfId="0" applyNumberFormat="1" applyAlignment="1">
      <alignment horizontal="left"/>
    </xf>
    <xf numFmtId="172" fontId="0" fillId="0" borderId="0" xfId="0" applyNumberFormat="1" applyAlignment="1">
      <alignment horizontal="center"/>
    </xf>
    <xf numFmtId="0" fontId="12" fillId="0" borderId="0" xfId="1" applyAlignment="1">
      <alignment horizontal="center" vertical="center"/>
    </xf>
    <xf numFmtId="0" fontId="59" fillId="0" borderId="0" xfId="11" applyAlignment="1">
      <alignment horizontal="center"/>
    </xf>
    <xf numFmtId="172" fontId="59" fillId="0" borderId="0" xfId="11" applyNumberFormat="1"/>
    <xf numFmtId="0" fontId="59" fillId="0" borderId="0" xfId="11"/>
    <xf numFmtId="0" fontId="12" fillId="0" borderId="5" xfId="1" applyNumberFormat="1" applyBorder="1" applyAlignment="1">
      <alignment horizontal="left" vertical="center"/>
    </xf>
    <xf numFmtId="0" fontId="6" fillId="0" borderId="0" xfId="0" applyFont="1" applyAlignment="1">
      <alignment horizontal="left"/>
    </xf>
    <xf numFmtId="0" fontId="0" fillId="20" borderId="5" xfId="0" applyFill="1" applyBorder="1" applyAlignment="1">
      <alignment horizontal="left" vertical="center"/>
    </xf>
    <xf numFmtId="0" fontId="33" fillId="0" borderId="0" xfId="0" applyFont="1" applyAlignment="1">
      <alignment horizontal="left"/>
    </xf>
    <xf numFmtId="0" fontId="34" fillId="0" borderId="0" xfId="0" applyFont="1" applyAlignment="1">
      <alignment horizontal="left"/>
    </xf>
    <xf numFmtId="0" fontId="36" fillId="0" borderId="0" xfId="0" applyFont="1" applyAlignment="1">
      <alignment horizontal="left"/>
    </xf>
    <xf numFmtId="0" fontId="38" fillId="0" borderId="0" xfId="0" applyFont="1" applyAlignment="1">
      <alignment horizontal="left"/>
    </xf>
    <xf numFmtId="0" fontId="43" fillId="0" borderId="1" xfId="1" applyFont="1" applyBorder="1" applyAlignment="1">
      <alignment horizontal="left" vertical="center"/>
    </xf>
    <xf numFmtId="0" fontId="42" fillId="0" borderId="3" xfId="0" applyFont="1" applyBorder="1" applyAlignment="1">
      <alignment horizontal="left" vertical="center"/>
    </xf>
    <xf numFmtId="0" fontId="0" fillId="11" borderId="0" xfId="0" applyFill="1" applyAlignment="1">
      <alignment horizontal="left"/>
    </xf>
    <xf numFmtId="0" fontId="42" fillId="0" borderId="29" xfId="0" applyFont="1" applyBorder="1" applyAlignment="1">
      <alignment vertical="center"/>
    </xf>
    <xf numFmtId="0" fontId="45" fillId="0" borderId="6" xfId="11" applyFont="1" applyBorder="1" applyAlignment="1">
      <alignment vertical="center"/>
    </xf>
    <xf numFmtId="0" fontId="45" fillId="0" borderId="25" xfId="11" applyFont="1" applyBorder="1" applyAlignment="1">
      <alignment vertical="center"/>
    </xf>
    <xf numFmtId="0" fontId="57" fillId="0" borderId="0" xfId="0" applyFont="1" applyAlignment="1">
      <alignment vertical="center" wrapText="1"/>
    </xf>
    <xf numFmtId="0" fontId="58" fillId="0" borderId="0" xfId="0" applyFont="1" applyAlignment="1">
      <alignment vertical="center"/>
    </xf>
    <xf numFmtId="0" fontId="57" fillId="0" borderId="0" xfId="0" applyFont="1" applyAlignment="1">
      <alignment vertical="center"/>
    </xf>
    <xf numFmtId="0" fontId="57" fillId="0" borderId="0" xfId="10" applyFont="1" applyAlignment="1">
      <alignment vertical="center"/>
    </xf>
    <xf numFmtId="0" fontId="40" fillId="18" borderId="2" xfId="3" applyFont="1" applyBorder="1" applyAlignment="1">
      <alignment vertical="center"/>
    </xf>
    <xf numFmtId="0" fontId="38" fillId="0" borderId="0" xfId="0" applyFont="1"/>
    <xf numFmtId="0" fontId="42" fillId="0" borderId="1" xfId="0" applyFont="1" applyBorder="1" applyAlignment="1">
      <alignment vertical="center"/>
    </xf>
    <xf numFmtId="0" fontId="42" fillId="0" borderId="5" xfId="0" applyFont="1" applyBorder="1" applyAlignment="1">
      <alignment vertical="center"/>
    </xf>
    <xf numFmtId="0" fontId="42" fillId="0" borderId="0" xfId="0" applyFont="1"/>
    <xf numFmtId="0" fontId="53" fillId="0" borderId="0" xfId="0" applyFont="1"/>
    <xf numFmtId="172" fontId="30" fillId="0" borderId="0" xfId="8" applyNumberFormat="1"/>
    <xf numFmtId="0" fontId="26" fillId="17" borderId="0" xfId="5" applyFill="1" applyAlignment="1">
      <alignment horizontal="center"/>
    </xf>
    <xf numFmtId="0" fontId="26" fillId="17" borderId="5" xfId="5" applyFill="1" applyBorder="1" applyAlignment="1">
      <alignment horizontal="center" vertical="center"/>
    </xf>
    <xf numFmtId="0" fontId="26" fillId="17" borderId="0" xfId="5" applyFill="1"/>
    <xf numFmtId="1" fontId="26" fillId="17" borderId="5" xfId="5" applyNumberFormat="1" applyFill="1" applyBorder="1" applyAlignment="1">
      <alignment horizontal="center" vertical="center"/>
    </xf>
    <xf numFmtId="172" fontId="26" fillId="17" borderId="0" xfId="5" applyNumberFormat="1" applyFill="1"/>
    <xf numFmtId="0" fontId="26" fillId="17" borderId="5" xfId="5" applyFill="1" applyBorder="1" applyAlignment="1">
      <alignment horizontal="center" vertical="center" wrapText="1"/>
    </xf>
    <xf numFmtId="0" fontId="26" fillId="17" borderId="1" xfId="5" applyFill="1" applyBorder="1" applyAlignment="1">
      <alignment horizontal="center" vertical="center"/>
    </xf>
    <xf numFmtId="0" fontId="26" fillId="17" borderId="0" xfId="5" applyFill="1" applyBorder="1" applyAlignment="1">
      <alignment horizontal="center" vertical="center"/>
    </xf>
    <xf numFmtId="0" fontId="26" fillId="17" borderId="0" xfId="5" applyFill="1" applyAlignment="1">
      <alignment horizontal="center" vertical="center"/>
    </xf>
    <xf numFmtId="21" fontId="26" fillId="17" borderId="0" xfId="5" applyNumberFormat="1" applyFill="1" applyAlignment="1">
      <alignment horizontal="center" vertical="center"/>
    </xf>
    <xf numFmtId="0" fontId="42" fillId="30" borderId="5" xfId="0" applyFont="1" applyFill="1" applyBorder="1" applyAlignment="1">
      <alignment horizontal="center" vertical="center"/>
    </xf>
    <xf numFmtId="0" fontId="30" fillId="30" borderId="0" xfId="8" applyFill="1"/>
    <xf numFmtId="1" fontId="42" fillId="30" borderId="5" xfId="0" applyNumberFormat="1" applyFont="1" applyFill="1" applyBorder="1" applyAlignment="1">
      <alignment horizontal="center" vertical="center"/>
    </xf>
    <xf numFmtId="172" fontId="30" fillId="30" borderId="0" xfId="8" applyNumberFormat="1" applyFill="1"/>
    <xf numFmtId="0" fontId="42" fillId="30" borderId="5" xfId="0" applyFont="1" applyFill="1" applyBorder="1" applyAlignment="1">
      <alignment horizontal="center" vertical="center" wrapText="1"/>
    </xf>
    <xf numFmtId="0" fontId="30" fillId="30" borderId="0" xfId="8" applyFill="1" applyAlignment="1">
      <alignment horizontal="center"/>
    </xf>
    <xf numFmtId="0" fontId="30" fillId="30" borderId="0" xfId="8" applyFill="1" applyAlignment="1">
      <alignment horizontal="left"/>
    </xf>
    <xf numFmtId="0" fontId="12" fillId="30" borderId="0" xfId="1" applyFill="1" applyBorder="1" applyAlignment="1">
      <alignment horizontal="center" vertical="center"/>
    </xf>
    <xf numFmtId="0" fontId="0" fillId="30" borderId="0" xfId="0" applyFill="1"/>
    <xf numFmtId="0" fontId="42" fillId="30" borderId="1" xfId="0" applyFont="1" applyFill="1" applyBorder="1" applyAlignment="1">
      <alignment horizontal="center" vertical="center"/>
    </xf>
    <xf numFmtId="0" fontId="42" fillId="30" borderId="0" xfId="0" applyFont="1" applyFill="1" applyAlignment="1">
      <alignment horizontal="center" vertical="center"/>
    </xf>
    <xf numFmtId="21" fontId="42" fillId="30" borderId="0" xfId="0" applyNumberFormat="1" applyFont="1" applyFill="1" applyAlignment="1">
      <alignment horizontal="center" vertical="center"/>
    </xf>
    <xf numFmtId="0" fontId="42" fillId="30" borderId="0" xfId="0" applyFont="1" applyFill="1" applyAlignment="1">
      <alignment horizontal="center"/>
    </xf>
    <xf numFmtId="0" fontId="53" fillId="0" borderId="0" xfId="0" applyFont="1" applyAlignment="1">
      <alignment horizontal="left"/>
    </xf>
    <xf numFmtId="0" fontId="45" fillId="0" borderId="25" xfId="9" applyFont="1" applyBorder="1" applyAlignment="1">
      <alignment horizontal="center"/>
    </xf>
    <xf numFmtId="0" fontId="45" fillId="0" borderId="6" xfId="9" applyFont="1" applyBorder="1" applyAlignment="1">
      <alignment horizontal="center"/>
    </xf>
    <xf numFmtId="0" fontId="45" fillId="30" borderId="6" xfId="8" applyFont="1" applyFill="1" applyBorder="1" applyAlignment="1">
      <alignment horizontal="center" vertical="center"/>
    </xf>
    <xf numFmtId="0" fontId="45" fillId="0" borderId="5" xfId="9" applyFont="1" applyBorder="1" applyAlignment="1">
      <alignment horizontal="center"/>
    </xf>
    <xf numFmtId="0" fontId="48" fillId="0" borderId="1" xfId="0" applyFont="1" applyBorder="1" applyAlignment="1">
      <alignment horizontal="center"/>
    </xf>
    <xf numFmtId="0" fontId="49" fillId="0" borderId="5" xfId="0" applyFont="1" applyBorder="1" applyAlignment="1">
      <alignment horizontal="center"/>
    </xf>
    <xf numFmtId="0" fontId="49" fillId="0" borderId="1" xfId="0" applyFont="1" applyBorder="1" applyAlignment="1">
      <alignment horizontal="center"/>
    </xf>
    <xf numFmtId="0" fontId="42" fillId="0" borderId="5" xfId="0" applyFont="1" applyBorder="1" applyAlignment="1">
      <alignment horizontal="center"/>
    </xf>
    <xf numFmtId="0" fontId="34" fillId="0" borderId="3" xfId="0" applyFont="1" applyBorder="1"/>
    <xf numFmtId="0" fontId="47" fillId="0" borderId="1" xfId="0" applyFont="1" applyBorder="1" applyAlignment="1">
      <alignment horizontal="left" vertical="center" wrapText="1"/>
    </xf>
    <xf numFmtId="0" fontId="42" fillId="0" borderId="5" xfId="0" applyFont="1" applyBorder="1" applyAlignment="1">
      <alignment horizontal="left"/>
    </xf>
    <xf numFmtId="0" fontId="26" fillId="17" borderId="1" xfId="5" applyFill="1" applyBorder="1" applyAlignment="1">
      <alignment horizontal="left" vertical="center" wrapText="1"/>
    </xf>
    <xf numFmtId="0" fontId="42" fillId="30" borderId="1" xfId="0" applyFont="1" applyFill="1" applyBorder="1" applyAlignment="1">
      <alignment horizontal="left" vertical="center" wrapText="1"/>
    </xf>
    <xf numFmtId="0" fontId="26" fillId="17" borderId="1" xfId="5" applyFill="1" applyBorder="1" applyAlignment="1">
      <alignment horizontal="center" vertical="center" wrapText="1"/>
    </xf>
    <xf numFmtId="0" fontId="42" fillId="30" borderId="1" xfId="0" applyFont="1" applyFill="1" applyBorder="1" applyAlignment="1">
      <alignment horizontal="center" vertical="center" wrapText="1"/>
    </xf>
    <xf numFmtId="1" fontId="26" fillId="17" borderId="1" xfId="5" applyNumberFormat="1" applyFill="1" applyBorder="1" applyAlignment="1">
      <alignment horizontal="center" vertical="center"/>
    </xf>
    <xf numFmtId="1" fontId="42" fillId="30" borderId="1" xfId="0" applyNumberFormat="1" applyFont="1" applyFill="1" applyBorder="1" applyAlignment="1">
      <alignment horizontal="center" vertical="center"/>
    </xf>
    <xf numFmtId="21" fontId="0" fillId="0" borderId="0" xfId="0" applyNumberFormat="1"/>
    <xf numFmtId="168" fontId="42" fillId="0" borderId="5" xfId="0" applyNumberFormat="1" applyFont="1" applyBorder="1" applyAlignment="1">
      <alignment horizontal="center" vertical="center"/>
    </xf>
    <xf numFmtId="0" fontId="1" fillId="0" borderId="12" xfId="0" applyFont="1" applyBorder="1" applyAlignment="1">
      <alignment horizontal="center" vertical="center" textRotation="90"/>
    </xf>
    <xf numFmtId="0" fontId="1" fillId="0" borderId="15" xfId="0" applyFont="1" applyBorder="1" applyAlignment="1">
      <alignment horizontal="center" vertical="center" textRotation="90"/>
    </xf>
    <xf numFmtId="0" fontId="1" fillId="0" borderId="17" xfId="0" applyFont="1" applyBorder="1" applyAlignment="1">
      <alignment horizontal="center" vertical="center" textRotation="90"/>
    </xf>
    <xf numFmtId="0" fontId="1" fillId="15" borderId="20" xfId="0" applyFont="1" applyFill="1" applyBorder="1" applyAlignment="1">
      <alignment horizontal="center" vertical="center" wrapText="1"/>
    </xf>
    <xf numFmtId="0" fontId="1" fillId="15" borderId="21" xfId="0" applyFont="1" applyFill="1" applyBorder="1" applyAlignment="1">
      <alignment horizontal="center" vertical="center" wrapText="1"/>
    </xf>
    <xf numFmtId="0" fontId="1" fillId="15" borderId="22" xfId="0" applyFont="1" applyFill="1" applyBorder="1" applyAlignment="1">
      <alignment horizontal="center" vertical="center" wrapText="1"/>
    </xf>
    <xf numFmtId="0" fontId="1" fillId="11" borderId="20" xfId="0" applyFont="1" applyFill="1" applyBorder="1" applyAlignment="1">
      <alignment horizontal="center" vertical="center" wrapText="1"/>
    </xf>
    <xf numFmtId="0" fontId="1" fillId="11" borderId="21" xfId="0" applyFont="1" applyFill="1" applyBorder="1" applyAlignment="1">
      <alignment horizontal="center" vertical="center" wrapText="1"/>
    </xf>
    <xf numFmtId="0" fontId="1" fillId="11" borderId="22" xfId="0" applyFont="1" applyFill="1" applyBorder="1" applyAlignment="1">
      <alignment horizontal="center" vertical="center" wrapText="1"/>
    </xf>
    <xf numFmtId="0" fontId="1" fillId="4" borderId="20" xfId="0" applyFont="1" applyFill="1" applyBorder="1" applyAlignment="1">
      <alignment horizontal="center" vertical="center"/>
    </xf>
    <xf numFmtId="0" fontId="1" fillId="4" borderId="21" xfId="0" applyFont="1" applyFill="1" applyBorder="1" applyAlignment="1">
      <alignment horizontal="center" vertical="center"/>
    </xf>
    <xf numFmtId="0" fontId="1" fillId="4" borderId="22" xfId="0" applyFont="1" applyFill="1" applyBorder="1" applyAlignment="1">
      <alignment horizontal="center" vertical="center"/>
    </xf>
    <xf numFmtId="0" fontId="1" fillId="3" borderId="20" xfId="0" applyFont="1" applyFill="1" applyBorder="1" applyAlignment="1">
      <alignment horizontal="center" vertical="center" wrapText="1"/>
    </xf>
    <xf numFmtId="0" fontId="1" fillId="3" borderId="21" xfId="0" applyFont="1" applyFill="1" applyBorder="1" applyAlignment="1">
      <alignment horizontal="center" vertical="center" wrapText="1"/>
    </xf>
    <xf numFmtId="0" fontId="1" fillId="3" borderId="22" xfId="0" applyFont="1" applyFill="1" applyBorder="1" applyAlignment="1">
      <alignment horizontal="center" vertical="center" wrapText="1"/>
    </xf>
    <xf numFmtId="0" fontId="1" fillId="15" borderId="38" xfId="0" applyFont="1" applyFill="1" applyBorder="1" applyAlignment="1">
      <alignment horizontal="center" vertical="center" wrapText="1"/>
    </xf>
    <xf numFmtId="0" fontId="1" fillId="15" borderId="39" xfId="0" applyFont="1" applyFill="1" applyBorder="1" applyAlignment="1">
      <alignment horizontal="center" vertical="center" wrapText="1"/>
    </xf>
    <xf numFmtId="0" fontId="1" fillId="15" borderId="40" xfId="0" applyFont="1" applyFill="1" applyBorder="1" applyAlignment="1">
      <alignment horizontal="center" vertical="center" wrapText="1"/>
    </xf>
    <xf numFmtId="0" fontId="28" fillId="22" borderId="0" xfId="6" applyAlignment="1">
      <alignment horizontal="center"/>
    </xf>
    <xf numFmtId="0" fontId="1" fillId="2" borderId="1" xfId="0" applyFont="1" applyFill="1" applyBorder="1" applyAlignment="1">
      <alignment horizontal="center" vertical="center"/>
    </xf>
    <xf numFmtId="0" fontId="21" fillId="19" borderId="4" xfId="0" applyFont="1" applyFill="1" applyBorder="1" applyAlignment="1">
      <alignment horizontal="center"/>
    </xf>
    <xf numFmtId="0" fontId="21" fillId="19" borderId="6" xfId="0" applyFont="1" applyFill="1" applyBorder="1" applyAlignment="1">
      <alignment horizontal="center"/>
    </xf>
    <xf numFmtId="0" fontId="0" fillId="0" borderId="0" xfId="0" applyAlignment="1">
      <alignment horizontal="center"/>
    </xf>
    <xf numFmtId="0" fontId="1" fillId="2" borderId="5"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2" xfId="0" applyFont="1" applyFill="1" applyBorder="1" applyAlignment="1">
      <alignment horizontal="center" vertical="center"/>
    </xf>
    <xf numFmtId="165" fontId="1" fillId="0" borderId="0" xfId="0" applyNumberFormat="1" applyFont="1" applyAlignment="1">
      <alignment horizontal="center"/>
    </xf>
    <xf numFmtId="0" fontId="1" fillId="0" borderId="0" xfId="0" applyFont="1" applyAlignment="1">
      <alignment horizontal="center"/>
    </xf>
    <xf numFmtId="0" fontId="0" fillId="0" borderId="4" xfId="0" applyBorder="1" applyAlignment="1">
      <alignment horizontal="center" vertical="top"/>
    </xf>
    <xf numFmtId="0" fontId="0" fillId="0" borderId="33" xfId="0" applyBorder="1" applyAlignment="1">
      <alignment horizontal="center" vertical="top"/>
    </xf>
    <xf numFmtId="0" fontId="0" fillId="0" borderId="6" xfId="0" applyBorder="1" applyAlignment="1">
      <alignment horizontal="center" vertical="top"/>
    </xf>
  </cellXfs>
  <cellStyles count="12">
    <cellStyle name="Bad" xfId="5" builtinId="27"/>
    <cellStyle name="Calculation" xfId="7" builtinId="22"/>
    <cellStyle name="Good" xfId="6" builtinId="26"/>
    <cellStyle name="Hyperlink" xfId="1" builtinId="8"/>
    <cellStyle name="Neutral" xfId="3" builtinId="28"/>
    <cellStyle name="Normal" xfId="0" builtinId="0"/>
    <cellStyle name="Normal 2" xfId="4" xr:uid="{E0A68574-920D-43B9-90E2-14143BCD54CE}"/>
    <cellStyle name="Normal 3" xfId="8" xr:uid="{FC3E4028-7B1F-4E99-B335-20F31693863E}"/>
    <cellStyle name="Normal 4" xfId="9" xr:uid="{447D2A48-4DAD-4033-874F-C12405038D96}"/>
    <cellStyle name="Normal 5" xfId="10" xr:uid="{9AC11D28-2860-42BA-9C97-E59A20DEA580}"/>
    <cellStyle name="Normal 6" xfId="11" xr:uid="{E8295F9E-8E1D-4D66-A6A6-BF8B6DB61BFF}"/>
    <cellStyle name="Percent" xfId="2" builtinId="5"/>
  </cellStyles>
  <dxfs count="336">
    <dxf>
      <fill>
        <patternFill>
          <bgColor rgb="FFFF0000"/>
        </patternFill>
      </fill>
    </dxf>
    <dxf>
      <fill>
        <patternFill>
          <bgColor rgb="FFFFC000"/>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ill>
        <patternFill>
          <bgColor theme="7" tint="0.79998168889431442"/>
        </patternFill>
      </fill>
    </dxf>
    <dxf>
      <fill>
        <patternFill>
          <bgColor theme="6" tint="0.79998168889431442"/>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ill>
        <patternFill>
          <bgColor theme="7" tint="0.79998168889431442"/>
        </patternFill>
      </fill>
    </dxf>
    <dxf>
      <fill>
        <patternFill>
          <bgColor theme="6" tint="0.79998168889431442"/>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ont>
        <color rgb="FF9C0006"/>
      </font>
      <fill>
        <patternFill>
          <bgColor rgb="FFFFC7CE"/>
        </patternFill>
      </fill>
    </dxf>
    <dxf>
      <font>
        <color auto="1"/>
      </font>
      <fill>
        <patternFill>
          <bgColor theme="5" tint="0.79998168889431442"/>
        </patternFill>
      </fill>
    </dxf>
    <dxf>
      <font>
        <color auto="1"/>
      </font>
      <fill>
        <patternFill>
          <bgColor theme="4" tint="0.79998168889431442"/>
        </patternFill>
      </fill>
    </dxf>
    <dxf>
      <font>
        <color auto="1"/>
      </font>
      <fill>
        <patternFill>
          <bgColor theme="5" tint="0.79998168889431442"/>
        </patternFill>
      </fill>
    </dxf>
    <dxf>
      <font>
        <color auto="1"/>
      </font>
      <fill>
        <patternFill>
          <bgColor theme="4" tint="0.79998168889431442"/>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C000"/>
        </patternFill>
      </fill>
    </dxf>
    <dxf>
      <font>
        <color rgb="FF9C0006"/>
      </font>
      <fill>
        <patternFill>
          <bgColor rgb="FFFFC7CE"/>
        </patternFill>
      </fill>
    </dxf>
    <dxf>
      <alignment horizontal="center" vertical="bottom" textRotation="0" wrapText="0" indent="0" justifyLastLine="0" shrinkToFit="0" readingOrder="0"/>
    </dxf>
    <dxf>
      <alignment horizontal="left"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dxf>
    <dxf>
      <numFmt numFmtId="0" formatCode="General"/>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172" formatCode="dd/mm/yyyy"/>
    </dxf>
    <dxf>
      <numFmt numFmtId="172" formatCode="dd/mm/yyyy"/>
    </dxf>
    <dxf>
      <numFmt numFmtId="172" formatCode="dd/mm/yyyy"/>
    </dxf>
    <dxf>
      <numFmt numFmtId="172" formatCode="dd/mm/yyyy"/>
    </dxf>
    <dxf>
      <numFmt numFmtId="172" formatCode="dd/mm/yyyy"/>
    </dxf>
    <dxf>
      <numFmt numFmtId="0" formatCode="General"/>
    </dxf>
    <dxf>
      <numFmt numFmtId="172"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font>
        <b val="0"/>
        <i val="0"/>
        <strike val="0"/>
        <condense val="0"/>
        <extend val="0"/>
        <outline val="0"/>
        <shadow val="0"/>
        <u val="none"/>
        <vertAlign val="baseline"/>
        <sz val="10.5"/>
        <color rgb="FF000000"/>
        <name val="Arial"/>
        <family val="2"/>
        <scheme val="none"/>
      </font>
      <numFmt numFmtId="0" formatCode="General"/>
      <alignment horizontal="center"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10.5"/>
        <color rgb="FF000000"/>
        <name val="Arial"/>
        <family val="2"/>
        <scheme val="none"/>
      </font>
      <alignment horizontal="center"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10.5"/>
        <color rgb="FF000000"/>
        <name val="Arial"/>
        <family val="2"/>
        <scheme val="none"/>
      </font>
      <numFmt numFmtId="0" formatCode="General"/>
      <alignment horizontal="center"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10.5"/>
        <color rgb="FF000000"/>
        <name val="Arial"/>
        <family val="2"/>
        <scheme val="none"/>
      </font>
      <numFmt numFmtId="0" formatCode="General"/>
      <alignment horizontal="center"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10.5"/>
        <color rgb="FF000000"/>
        <name val="Arial"/>
        <family val="2"/>
        <scheme val="none"/>
      </font>
      <numFmt numFmtId="0" formatCode="General"/>
      <alignment horizontal="center"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10.5"/>
        <color rgb="FF000000"/>
        <name val="Arial"/>
        <family val="2"/>
        <scheme val="none"/>
      </font>
      <numFmt numFmtId="0" formatCode="General"/>
      <alignment horizontal="center"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10.5"/>
        <color rgb="FF000000"/>
        <name val="Arial"/>
        <family val="2"/>
        <scheme val="none"/>
      </font>
      <numFmt numFmtId="172" formatCode="dd/mm/yyyy"/>
      <alignment horizontal="center"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10.5"/>
        <color rgb="FF000000"/>
        <name val="Arial"/>
        <family val="2"/>
        <scheme val="none"/>
      </font>
      <alignment horizontal="center"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10.5"/>
        <color rgb="FF000000"/>
        <name val="Arial"/>
        <family val="2"/>
        <scheme val="none"/>
      </font>
      <numFmt numFmtId="0" formatCode="General"/>
      <alignment horizontal="center"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10.5"/>
        <color rgb="FF000000"/>
        <name val="Arial"/>
        <family val="2"/>
        <scheme val="none"/>
      </font>
      <alignment horizontal="center"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10.5"/>
        <color rgb="FF000000"/>
        <name val="Arial"/>
        <family val="2"/>
        <scheme val="none"/>
      </font>
      <alignment horizontal="left" vertical="bottom" textRotation="0" wrapText="1" indent="0" justifyLastLine="0" shrinkToFit="0" readingOrder="1"/>
      <border diagonalUp="0" diagonalDown="0" outline="0">
        <left/>
        <right/>
        <top style="thin">
          <color rgb="FF5A5B5E"/>
        </top>
        <bottom style="thin">
          <color rgb="FF5A5B5E"/>
        </bottom>
      </border>
    </dxf>
    <dxf>
      <font>
        <b val="0"/>
        <i val="0"/>
        <strike val="0"/>
        <condense val="0"/>
        <extend val="0"/>
        <outline val="0"/>
        <shadow val="0"/>
        <u val="none"/>
        <vertAlign val="baseline"/>
        <sz val="8"/>
        <color rgb="FF000000"/>
        <name val="Arial"/>
        <family val="2"/>
        <scheme val="none"/>
      </font>
      <numFmt numFmtId="0" formatCode="General"/>
      <alignment horizontal="center" vertical="center" textRotation="0" wrapText="1" indent="0" justifyLastLine="0" shrinkToFit="0" readingOrder="1"/>
      <border diagonalUp="0" diagonalDown="0">
        <left/>
        <right/>
        <top style="thin">
          <color rgb="FF5A5B5E"/>
        </top>
        <bottom style="thin">
          <color rgb="FF5A5B5E"/>
        </bottom>
      </border>
    </dxf>
    <dxf>
      <font>
        <b val="0"/>
        <i val="0"/>
        <strike val="0"/>
        <condense val="0"/>
        <extend val="0"/>
        <outline val="0"/>
        <shadow val="0"/>
        <u val="none"/>
        <vertAlign val="baseline"/>
        <sz val="8"/>
        <color rgb="FF000000"/>
        <name val="Arial"/>
        <family val="2"/>
        <scheme val="none"/>
      </font>
      <numFmt numFmtId="0" formatCode="General"/>
      <alignment horizontal="center" vertical="center" textRotation="0" wrapText="1" indent="0" justifyLastLine="0" shrinkToFit="0" readingOrder="1"/>
      <border diagonalUp="0" diagonalDown="0">
        <left/>
        <right/>
        <top style="thin">
          <color rgb="FF5A5B5E"/>
        </top>
        <bottom/>
        <vertical/>
        <horizontal/>
      </border>
    </dxf>
    <dxf>
      <font>
        <b val="0"/>
        <i val="0"/>
        <strike val="0"/>
        <condense val="0"/>
        <extend val="0"/>
        <outline val="0"/>
        <shadow val="0"/>
        <u val="none"/>
        <vertAlign val="baseline"/>
        <sz val="8"/>
        <color rgb="FF000000"/>
        <name val="Arial"/>
        <family val="2"/>
        <scheme val="none"/>
      </font>
      <numFmt numFmtId="0" formatCode="General"/>
      <alignment horizontal="center" vertical="center" textRotation="0" wrapText="1" indent="0" justifyLastLine="0" shrinkToFit="0" readingOrder="1"/>
      <border diagonalUp="0" diagonalDown="0">
        <left/>
        <right/>
        <top style="thin">
          <color rgb="FF5A5B5E"/>
        </top>
        <bottom style="thin">
          <color rgb="FF5A5B5E"/>
        </bottom>
      </border>
    </dxf>
    <dxf>
      <font>
        <b val="0"/>
        <i val="0"/>
        <strike val="0"/>
        <condense val="0"/>
        <extend val="0"/>
        <outline val="0"/>
        <shadow val="0"/>
        <u val="none"/>
        <vertAlign val="baseline"/>
        <sz val="8"/>
        <color rgb="FF000000"/>
        <name val="Arial"/>
        <family val="2"/>
        <scheme val="none"/>
      </font>
      <numFmt numFmtId="0" formatCode="General"/>
      <alignment horizontal="center" vertical="center"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8"/>
        <color rgb="FF000000"/>
        <name val="Arial"/>
        <family val="2"/>
        <scheme val="none"/>
      </font>
      <numFmt numFmtId="0" formatCode="General"/>
      <alignment horizontal="center" vertical="center" textRotation="0" wrapText="1" indent="0" justifyLastLine="0" shrinkToFit="0" readingOrder="1"/>
      <border diagonalUp="0" diagonalDown="0">
        <left/>
        <right/>
        <top style="thin">
          <color rgb="FF5A5B5E"/>
        </top>
        <bottom style="thin">
          <color rgb="FF5A5B5E"/>
        </bottom>
        <vertical/>
        <horizontal/>
      </border>
    </dxf>
    <dxf>
      <font>
        <b/>
        <i val="0"/>
        <strike val="0"/>
        <condense val="0"/>
        <extend val="0"/>
        <outline val="0"/>
        <shadow val="0"/>
        <u val="none"/>
        <vertAlign val="baseline"/>
        <sz val="8"/>
        <color rgb="FF000000"/>
        <name val="Arial"/>
        <family val="2"/>
        <scheme val="none"/>
      </font>
      <numFmt numFmtId="165" formatCode="0.0"/>
      <fill>
        <patternFill patternType="solid">
          <fgColor indexed="64"/>
          <bgColor rgb="FFF2F2F2"/>
        </patternFill>
      </fill>
      <alignment horizontal="center" vertical="center"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8"/>
        <color rgb="FF000000"/>
        <name val="Arial"/>
        <family val="2"/>
        <scheme val="none"/>
      </font>
      <alignment horizontal="left"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8"/>
        <color rgb="FF000000"/>
        <name val="Arial"/>
        <family val="2"/>
        <scheme val="none"/>
      </font>
      <alignment horizontal="left" vertical="center" textRotation="0" wrapText="1" indent="0" justifyLastLine="0" shrinkToFit="0" readingOrder="1"/>
      <border diagonalUp="0" diagonalDown="0" outline="0">
        <left/>
        <right/>
        <top style="thin">
          <color rgb="FF5A5B5E"/>
        </top>
        <bottom style="thin">
          <color rgb="FF5A5B5E"/>
        </bottom>
      </border>
    </dxf>
    <dxf>
      <font>
        <b val="0"/>
        <i val="0"/>
        <strike val="0"/>
        <condense val="0"/>
        <extend val="0"/>
        <outline val="0"/>
        <shadow val="0"/>
        <u val="none"/>
        <vertAlign val="baseline"/>
        <sz val="8"/>
        <color rgb="FF000000"/>
        <name val="Arial"/>
        <family val="2"/>
        <scheme val="none"/>
      </font>
      <numFmt numFmtId="0" formatCode="General"/>
      <alignment horizontal="left" vertical="center" textRotation="0" wrapText="1" indent="0" justifyLastLine="0" shrinkToFit="0" readingOrder="1"/>
      <border diagonalUp="0" diagonalDown="0">
        <left/>
        <right/>
        <top style="thin">
          <color rgb="FF5A5B5E"/>
        </top>
        <bottom/>
        <vertical/>
        <horizontal/>
      </border>
    </dxf>
    <dxf>
      <font>
        <b val="0"/>
        <i val="0"/>
        <strike val="0"/>
        <condense val="0"/>
        <extend val="0"/>
        <outline val="0"/>
        <shadow val="0"/>
        <u val="none"/>
        <vertAlign val="baseline"/>
        <sz val="8"/>
        <color rgb="FF000000"/>
        <name val="Arial"/>
        <family val="2"/>
        <scheme val="none"/>
      </font>
      <fill>
        <patternFill patternType="none">
          <fgColor indexed="64"/>
          <bgColor indexed="65"/>
        </patternFill>
      </fill>
      <alignment horizontal="left" vertical="center" textRotation="0" wrapText="1" indent="0" justifyLastLine="0" shrinkToFit="0" readingOrder="1"/>
      <border diagonalUp="0" diagonalDown="0" outline="0">
        <left/>
        <right/>
        <top style="thin">
          <color rgb="FF5A5B5E"/>
        </top>
        <bottom style="thin">
          <color rgb="FF5A5B5E"/>
        </bottom>
      </border>
    </dxf>
    <dxf>
      <font>
        <b val="0"/>
        <i val="0"/>
        <strike val="0"/>
        <condense val="0"/>
        <extend val="0"/>
        <outline val="0"/>
        <shadow val="0"/>
        <u val="none"/>
        <vertAlign val="baseline"/>
        <sz val="8"/>
        <color rgb="FF000000"/>
        <name val="Calibri"/>
        <family val="2"/>
        <scheme val="none"/>
      </font>
      <fill>
        <patternFill patternType="none">
          <fgColor indexed="64"/>
          <bgColor indexed="65"/>
        </patternFill>
      </fill>
      <alignment horizontal="left" vertical="bottom" textRotation="0" wrapText="1" indent="0" justifyLastLine="0" shrinkToFit="0" readingOrder="1"/>
      <border diagonalUp="0" diagonalDown="0" outline="0">
        <left/>
        <right/>
        <top style="thin">
          <color rgb="FF5A5B5E"/>
        </top>
        <bottom style="thin">
          <color rgb="FF5A5B5E"/>
        </bottom>
      </border>
    </dxf>
    <dxf>
      <font>
        <b val="0"/>
        <i val="0"/>
        <strike val="0"/>
        <condense val="0"/>
        <extend val="0"/>
        <outline val="0"/>
        <shadow val="0"/>
        <u val="none"/>
        <vertAlign val="baseline"/>
        <sz val="8"/>
        <color rgb="FF10069F"/>
        <name val="Webdings"/>
        <family val="1"/>
        <charset val="2"/>
        <scheme val="none"/>
      </font>
      <alignment horizontal="center" vertical="center" textRotation="0" wrapText="1" indent="0" justifyLastLine="0" shrinkToFit="0" readingOrder="1"/>
      <border diagonalUp="0" diagonalDown="0">
        <left/>
        <right/>
        <top style="thin">
          <color rgb="FF5A5B5E"/>
        </top>
        <bottom style="thin">
          <color rgb="FF5A5B5E"/>
        </bottom>
        <vertical/>
        <horizontal/>
      </border>
    </dxf>
    <dxf>
      <border outline="0">
        <top style="thick">
          <color rgb="FF00A3E0"/>
        </top>
        <bottom style="thin">
          <color rgb="FF5A5B5E"/>
        </bottom>
      </border>
    </dxf>
    <dxf>
      <font>
        <b val="0"/>
        <i val="0"/>
        <strike val="0"/>
        <condense val="0"/>
        <extend val="0"/>
        <outline val="0"/>
        <shadow val="0"/>
        <u val="none"/>
        <vertAlign val="baseline"/>
        <sz val="10.5"/>
        <color rgb="FF000000"/>
        <name val="Arial"/>
        <family val="2"/>
        <scheme val="none"/>
      </font>
      <alignment horizontal="center" vertical="bottom" textRotation="0" wrapText="1" indent="0" justifyLastLine="0" shrinkToFit="0" readingOrder="1"/>
    </dxf>
    <dxf>
      <border outline="0">
        <bottom style="thin">
          <color rgb="FF5A5B5E"/>
        </bottom>
      </border>
    </dxf>
    <dxf>
      <font>
        <b/>
        <i val="0"/>
        <strike val="0"/>
        <condense val="0"/>
        <extend val="0"/>
        <outline val="0"/>
        <shadow val="0"/>
        <u val="none"/>
        <vertAlign val="baseline"/>
        <sz val="8"/>
        <color rgb="FF00A3E0"/>
        <name val="Arial"/>
        <family val="2"/>
        <scheme val="none"/>
      </font>
      <alignment horizontal="left" vertical="bottom" textRotation="0" wrapText="0" indent="0" justifyLastLine="0" shrinkToFit="0" readingOrder="1"/>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0" formatCode="General"/>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none"/>
      </font>
      <alignment horizontal="center" vertical="bottom" textRotation="0" wrapText="0" indent="0" justifyLastLine="0" shrinkToFit="0" readingOrder="0"/>
    </dxf>
    <dxf>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0" formatCode="General"/>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0" formatCode="General"/>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0" formatCode="General"/>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0" formatCode="General"/>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0" formatCode="General"/>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0" formatCode="General"/>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none"/>
      </font>
      <alignment horizontal="center" vertical="bottom" textRotation="0" wrapText="0" indent="0" justifyLastLine="0" shrinkToFit="0" readingOrder="0"/>
    </dxf>
    <dxf>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0" formatCode="General"/>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0" formatCode="General"/>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dxf>
    <dxf>
      <numFmt numFmtId="0" formatCode="General"/>
      <alignment horizontal="lef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left" vertical="bottom" textRotation="0" wrapText="0" indent="0" justifyLastLine="0" shrinkToFit="0" readingOrder="0"/>
      <border diagonalUp="0" diagonalDown="0" outline="0">
        <left style="thin">
          <color indexed="64"/>
        </left>
        <right/>
        <top style="thin">
          <color indexed="64"/>
        </top>
        <bottom style="thin">
          <color indexed="64"/>
        </bottom>
      </border>
    </dxf>
    <dxf>
      <numFmt numFmtId="0" formatCode="General"/>
      <alignment horizontal="lef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numFmt numFmtId="0" formatCode="General"/>
      <alignment textRotation="0" wrapText="0" indent="0" justifyLastLine="0" shrinkToFit="0"/>
      <border diagonalUp="0" diagonalDown="0" outline="0">
        <left/>
        <right style="thin">
          <color indexed="64"/>
        </right>
        <top style="thin">
          <color indexed="64"/>
        </top>
        <bottom style="thin">
          <color indexed="64"/>
        </bottom>
      </border>
    </dxf>
    <dxf>
      <alignment textRotation="0" wrapText="0" indent="0" justifyLastLine="0" shrinkToFit="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alignment horizontal="center"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border diagonalUp="0" diagonalDown="0" outline="0">
        <left style="thin">
          <color indexed="64"/>
        </left>
        <right style="thin">
          <color indexed="64"/>
        </right>
        <top/>
        <bottom/>
      </border>
    </dxf>
    <dxf>
      <numFmt numFmtId="0" formatCode="General"/>
      <alignment horizontal="center" vertical="bottom" textRotation="0" wrapText="0" indent="0" justifyLastLine="0" shrinkToFit="0" readingOrder="0"/>
    </dxf>
    <dxf>
      <numFmt numFmtId="0" formatCode="General"/>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strike val="0"/>
        <outline val="0"/>
        <shadow val="0"/>
        <u val="none"/>
        <vertAlign val="baseline"/>
        <sz val="11"/>
        <color rgb="FFFF0000"/>
        <name val="Calibri"/>
        <family val="2"/>
        <scheme val="minor"/>
      </font>
      <alignment horizontal="center" vertical="bottom" textRotation="0" wrapText="0" indent="0" justifyLastLine="0" shrinkToFit="0" readingOrder="0"/>
    </dxf>
    <dxf>
      <alignment horizontal="center" vertical="bottom" textRotation="0" wrapText="0" indent="0" justifyLastLine="0" shrinkToFit="0" readingOrder="0"/>
    </dxf>
    <dxf>
      <font>
        <strike val="0"/>
        <outline val="0"/>
        <shadow val="0"/>
        <u val="none"/>
        <vertAlign val="baseline"/>
        <sz val="11"/>
        <color rgb="FFFF0000"/>
        <name val="Calibri"/>
        <family val="2"/>
        <scheme val="minor"/>
      </font>
      <alignment horizontal="center" vertical="bottom" textRotation="0" wrapText="0" indent="0" justifyLastLine="0" shrinkToFit="0" readingOrder="0"/>
    </dxf>
    <dxf>
      <alignment horizontal="left"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ill>
        <patternFill patternType="none">
          <fgColor indexed="64"/>
          <bgColor indexed="65"/>
        </patternFill>
      </fill>
      <alignment horizontal="center" vertical="top" textRotation="0" wrapText="0" indent="0" justifyLastLine="0" shrinkToFit="0" readingOrder="0"/>
      <border diagonalUp="0" diagonalDown="0" outline="0">
        <left/>
        <right/>
        <top style="thin">
          <color theme="4" tint="0.39997558519241921"/>
        </top>
        <bottom style="thin">
          <color theme="4" tint="0.39997558519241921"/>
        </bottom>
      </border>
    </dxf>
    <dxf>
      <fill>
        <patternFill patternType="none">
          <fgColor indexed="64"/>
          <bgColor indexed="65"/>
        </patternFill>
      </fill>
      <alignment horizontal="left" vertical="top" textRotation="0" wrapText="1" indent="0" justifyLastLine="0" shrinkToFit="0" readingOrder="0"/>
      <border diagonalUp="0" diagonalDown="0" outline="0">
        <left/>
        <right/>
        <top style="thin">
          <color theme="4" tint="0.39997558519241921"/>
        </top>
        <bottom style="thin">
          <color theme="4" tint="0.39997558519241921"/>
        </bottom>
      </border>
    </dxf>
    <dxf>
      <fill>
        <patternFill patternType="none">
          <fgColor indexed="64"/>
          <bgColor indexed="65"/>
        </patternFill>
      </fill>
      <alignment horizontal="left" vertical="top" textRotation="0" wrapText="0" indent="0" justifyLastLine="0" shrinkToFit="0" readingOrder="0"/>
    </dxf>
    <dxf>
      <numFmt numFmtId="0" formatCode="General"/>
      <fill>
        <patternFill patternType="none">
          <fgColor indexed="64"/>
          <bgColor indexed="65"/>
        </patternFill>
      </fill>
      <alignment horizontal="center" vertical="top" textRotation="0" wrapText="0" indent="0" justifyLastLine="0" shrinkToFit="0" readingOrder="0"/>
    </dxf>
    <dxf>
      <numFmt numFmtId="0" formatCode="General"/>
      <fill>
        <patternFill patternType="none">
          <fgColor indexed="64"/>
          <bgColor indexed="65"/>
        </patternFill>
      </fill>
      <alignment horizontal="center" vertical="top" textRotation="0" wrapText="0" indent="0" justifyLastLine="0" shrinkToFit="0" readingOrder="0"/>
    </dxf>
    <dxf>
      <font>
        <color rgb="FFFF0000"/>
      </font>
      <numFmt numFmtId="0" formatCode="General"/>
      <alignment horizontal="center" vertical="top" textRotation="0" wrapText="0" indent="0" justifyLastLine="0" shrinkToFit="0" readingOrder="0"/>
    </dxf>
    <dxf>
      <font>
        <color rgb="FFFF0000"/>
      </font>
      <alignment horizontal="center" vertical="top" textRotation="0" wrapText="0" indent="0" justifyLastLine="0" shrinkToFit="0" readingOrder="0"/>
    </dxf>
    <dxf>
      <font>
        <strike val="0"/>
        <outline val="0"/>
        <shadow val="0"/>
        <u val="none"/>
        <vertAlign val="baseline"/>
        <sz val="11"/>
        <color rgb="FFFF0000"/>
        <name val="Calibri"/>
        <family val="2"/>
        <scheme val="minor"/>
      </font>
      <alignment horizontal="center" vertical="top" textRotation="0" wrapText="0" indent="0" justifyLastLine="0" shrinkToFit="0" readingOrder="0"/>
    </dxf>
    <dxf>
      <font>
        <color rgb="FFFF0000"/>
      </font>
      <alignment horizontal="center" vertical="top" textRotation="0" wrapText="0" indent="0" justifyLastLine="0" shrinkToFit="0" readingOrder="0"/>
    </dxf>
    <dxf>
      <font>
        <strike val="0"/>
        <outline val="0"/>
        <shadow val="0"/>
        <u val="none"/>
        <vertAlign val="baseline"/>
        <sz val="11"/>
        <color rgb="FFFF0000"/>
        <name val="Calibri"/>
        <family val="2"/>
        <scheme val="minor"/>
      </font>
      <numFmt numFmtId="0" formatCode="General"/>
      <alignment horizontal="center" vertical="top" textRotation="0" wrapText="0" indent="0" justifyLastLine="0" shrinkToFit="0" readingOrder="0"/>
    </dxf>
    <dxf>
      <alignment horizontal="center" vertical="top" textRotation="0" wrapText="0" indent="0" justifyLastLine="0" shrinkToFit="0" readingOrder="0"/>
    </dxf>
    <dxf>
      <alignment horizontal="center" vertical="top" textRotation="0" wrapText="0" indent="0" justifyLastLine="0" shrinkToFit="0" readingOrder="0"/>
    </dxf>
    <dxf>
      <alignment horizontal="center" vertical="top" textRotation="0" wrapText="0" indent="0" justifyLastLine="0" shrinkToFit="0" readingOrder="0"/>
    </dxf>
    <dxf>
      <alignment horizontal="center" vertical="bottom" textRotation="0" wrapText="0" indent="0" justifyLastLine="0" shrinkToFit="0" readingOrder="0"/>
    </dxf>
    <dxf>
      <font>
        <strike val="0"/>
        <outline val="0"/>
        <shadow val="0"/>
        <vertAlign val="baseline"/>
        <name val="Lucida Console"/>
        <family val="3"/>
        <scheme val="none"/>
      </font>
      <alignment horizontal="center" vertical="center" textRotation="0" wrapText="0" indent="0" justifyLastLine="0" shrinkToFit="0" readingOrder="0"/>
    </dxf>
    <dxf>
      <font>
        <strike val="0"/>
        <outline val="0"/>
        <shadow val="0"/>
        <vertAlign val="baseline"/>
        <name val="Lucida Console"/>
        <family val="3"/>
        <scheme val="none"/>
      </font>
      <numFmt numFmtId="0" formatCode="General"/>
      <alignment horizontal="center" vertical="center" textRotation="0" wrapText="0" indent="0" justifyLastLine="0" shrinkToFit="0" readingOrder="0"/>
    </dxf>
    <dxf>
      <font>
        <strike val="0"/>
        <outline val="0"/>
        <shadow val="0"/>
        <vertAlign val="baseline"/>
        <name val="Lucida Console"/>
        <family val="3"/>
        <scheme val="none"/>
      </font>
      <numFmt numFmtId="26" formatCode="h:mm:ss"/>
      <alignment horizontal="center" vertical="center" textRotation="0" wrapText="0" indent="0" justifyLastLine="0" shrinkToFit="0" readingOrder="0"/>
    </dxf>
    <dxf>
      <font>
        <strike val="0"/>
        <outline val="0"/>
        <shadow val="0"/>
        <vertAlign val="baseline"/>
        <name val="Lucida Console"/>
        <family val="3"/>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numFmt numFmtId="1"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strike val="0"/>
        <outline val="0"/>
        <shadow val="0"/>
        <vertAlign val="baseline"/>
        <name val="Lucida Console"/>
        <family val="3"/>
        <scheme val="none"/>
      </font>
      <numFmt numFmtId="0" formatCode="Genera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numFmt numFmtId="0" formatCode="General"/>
      <fill>
        <patternFill patternType="solid">
          <fgColor indexed="64"/>
          <bgColor theme="7"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fill>
        <patternFill patternType="solid">
          <fgColor indexed="64"/>
          <bgColor theme="7" tint="0.79998168889431442"/>
        </patternFill>
      </fill>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dxf>
    <dxf>
      <font>
        <strike val="0"/>
        <outline val="0"/>
        <shadow val="0"/>
        <vertAlign val="baseline"/>
        <name val="Lucida Console"/>
        <family val="3"/>
        <scheme val="none"/>
      </font>
      <fill>
        <patternFill patternType="solid">
          <fgColor indexed="64"/>
          <bgColor theme="7"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Lucida Console"/>
        <family val="3"/>
        <scheme val="none"/>
      </font>
      <numFmt numFmtId="0" formatCode="Genera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strike val="0"/>
        <outline val="0"/>
        <shadow val="0"/>
        <vertAlign val="baseline"/>
        <name val="Lucida Console"/>
        <family val="3"/>
        <scheme val="none"/>
      </font>
      <numFmt numFmtId="0" formatCode="Genera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strike val="0"/>
        <outline val="0"/>
        <shadow val="0"/>
        <vertAlign val="baseline"/>
        <name val="Lucida Console"/>
        <family val="3"/>
        <scheme val="none"/>
      </font>
      <numFmt numFmtId="0" formatCode="Genera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ertAlign val="baseline"/>
        <color theme="10"/>
        <name val="Lucida Console"/>
        <family val="3"/>
        <scheme val="none"/>
      </font>
      <alignment horizontal="center" vertical="center" textRotation="0" wrapText="0" indent="0" justifyLastLine="0" shrinkToFit="0" readingOrder="0"/>
    </dxf>
    <dxf>
      <font>
        <strike val="0"/>
        <outline val="0"/>
        <shadow val="0"/>
        <vertAlign val="baseline"/>
        <name val="Lucida Console"/>
        <family val="3"/>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numFmt numFmtId="2"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numFmt numFmtId="0" formatCode="Genera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strike val="0"/>
        <outline val="0"/>
        <shadow val="0"/>
        <vertAlign val="baseline"/>
        <name val="Lucida Console"/>
        <family val="3"/>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name val="Lucida Console"/>
        <family val="3"/>
        <scheme val="none"/>
      </font>
      <numFmt numFmtId="173" formatCode="h:mm:ss;@"/>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numFmt numFmtId="168" formatCode="d/mm/yy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color auto="1"/>
        <name val="Lucida Console"/>
        <family val="3"/>
        <scheme val="none"/>
      </font>
      <numFmt numFmtId="0" formatCode="General"/>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numFmt numFmtId="1"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Lucida Console"/>
        <family val="3"/>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strike val="0"/>
        <outline val="0"/>
        <shadow val="0"/>
        <vertAlign val="baseline"/>
        <name val="Lucida Console"/>
        <family val="3"/>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dxf>
    <dxf>
      <border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1"/>
        <color theme="1"/>
        <name val="Lucida Console"/>
        <family val="3"/>
        <scheme val="none"/>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165" formatCode="0.0"/>
      <fill>
        <patternFill patternType="solid">
          <fgColor indexed="64"/>
          <bgColor theme="9" tint="0.79998168889431442"/>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165" formatCode="0.0"/>
      <fill>
        <patternFill patternType="solid">
          <fgColor indexed="64"/>
          <bgColor theme="9" tint="0.79998168889431442"/>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165" formatCode="0.0"/>
      <fill>
        <patternFill patternType="solid">
          <fgColor indexed="64"/>
          <bgColor theme="9" tint="0.79998168889431442"/>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165" formatCode="0.0"/>
      <fill>
        <patternFill patternType="solid">
          <fgColor indexed="64"/>
          <bgColor theme="9" tint="0.79998168889431442"/>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fill>
        <patternFill patternType="solid">
          <fgColor indexed="64"/>
          <bgColor theme="9" tint="0.79998168889431442"/>
        </patternFill>
      </fill>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numFmt numFmtId="171" formatCode="00"/>
      <fill>
        <patternFill patternType="solid">
          <fgColor indexed="64"/>
          <bgColor theme="9" tint="0.79998168889431442"/>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1" formatCode="0"/>
      <fill>
        <patternFill patternType="solid">
          <fgColor indexed="64"/>
          <bgColor theme="9" tint="0.79998168889431442"/>
        </patternFill>
      </fill>
      <alignment horizontal="center" vertical="center" textRotation="0" wrapText="0" indent="0" justifyLastLine="0" shrinkToFit="0" readingOrder="0"/>
      <border diagonalUp="0" diagonalDown="0">
        <left style="thin">
          <color indexed="64"/>
        </left>
        <right style="thin">
          <color indexed="64"/>
        </right>
        <top/>
        <bottom/>
        <vertical/>
        <horizontal/>
      </border>
    </dxf>
    <dxf>
      <fill>
        <patternFill patternType="solid">
          <fgColor indexed="64"/>
          <bgColor theme="9" tint="0.79998168889431442"/>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0" formatCode="General"/>
      <fill>
        <patternFill patternType="solid">
          <fgColor indexed="64"/>
          <bgColor theme="9" tint="0.79998168889431442"/>
        </patternFill>
      </fill>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ill>
        <patternFill patternType="solid">
          <fgColor indexed="64"/>
          <bgColor theme="9"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border outline="0">
        <top style="medium">
          <color indexed="64"/>
        </top>
        <bottom style="thin">
          <color indexed="64"/>
        </bottom>
      </border>
    </dxf>
    <dxf>
      <fill>
        <patternFill patternType="solid">
          <fgColor indexed="64"/>
          <bgColor theme="9" tint="0.79998168889431442"/>
        </patternFill>
      </fill>
      <alignment horizontal="center" vertical="center" textRotation="0" wrapText="0" indent="0" justifyLastLine="0" shrinkToFit="0" readingOrder="0"/>
    </dxf>
    <dxf>
      <border outline="0">
        <bottom style="medium">
          <color indexed="64"/>
        </bottom>
      </border>
    </dxf>
    <dxf>
      <font>
        <b/>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numFmt numFmtId="0" formatCode="General"/>
      <alignment horizontal="center" vertical="bottom" textRotation="0" wrapText="0" indent="0" justifyLastLine="0" shrinkToFit="0" readingOrder="0"/>
    </dxf>
    <dxf>
      <numFmt numFmtId="1" formatCode="0"/>
    </dxf>
    <dxf>
      <numFmt numFmtId="1" formatCode="0"/>
    </dxf>
    <dxf>
      <numFmt numFmtId="30" formatCode="@"/>
      <alignment horizontal="center" vertical="center" textRotation="0" wrapText="0" indent="0" justifyLastLine="0" shrinkToFit="0" readingOrder="0"/>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0" indent="0" justifyLastLine="0" shrinkToFit="0" readingOrder="0"/>
    </dxf>
    <dxf>
      <font>
        <b/>
        <i val="0"/>
        <strike val="0"/>
        <condense val="0"/>
        <extend val="0"/>
        <outline val="0"/>
        <shadow val="0"/>
        <u val="none"/>
        <vertAlign val="baseline"/>
        <sz val="11"/>
        <color theme="1"/>
        <name val="Calibri"/>
        <family val="2"/>
        <scheme val="minor"/>
      </font>
      <fill>
        <patternFill patternType="solid">
          <fgColor indexed="64"/>
          <bgColor theme="2"/>
        </patternFill>
      </fill>
      <alignment horizontal="center" vertical="center" textRotation="0" wrapText="0" indent="0" justifyLastLine="0" shrinkToFit="0" readingOrder="0"/>
    </dxf>
    <dxf>
      <border>
        <top style="thin">
          <color theme="6"/>
        </top>
        <bottom style="thin">
          <color theme="6"/>
        </bottom>
        <horizontal style="thin">
          <color theme="6"/>
        </horizontal>
      </border>
    </dxf>
    <dxf>
      <fill>
        <patternFill patternType="none">
          <fgColor indexed="64"/>
          <bgColor auto="1"/>
        </patternFill>
      </fill>
      <border>
        <top style="thick">
          <color rgb="FF00A3E0"/>
        </top>
        <bottom style="thick">
          <color rgb="FF00A3E0"/>
        </bottom>
        <horizontal style="thick">
          <color rgb="FF00A3E0"/>
        </horizontal>
      </border>
    </dxf>
    <dxf>
      <font>
        <b/>
        <color theme="4" tint="-0.249977111117893"/>
      </font>
      <border>
        <bottom style="thin">
          <color theme="4"/>
        </bottom>
      </border>
    </dxf>
    <dxf>
      <font>
        <color rgb="FF00A3E0"/>
      </font>
      <border>
        <top style="thin">
          <color theme="4"/>
        </top>
        <bottom style="thin">
          <color theme="4"/>
        </bottom>
      </border>
    </dxf>
  </dxfs>
  <tableStyles count="1" defaultTableStyle="TableStyleMedium2" defaultPivotStyle="PivotStyleLight16">
    <tableStyle name="Table_presentation" pivot="0" count="4" xr9:uid="{BF5020E2-8DDF-4FA5-86A2-6537E13F89B4}">
      <tableStyleElement type="wholeTable" dxfId="335"/>
      <tableStyleElement type="headerRow" dxfId="334"/>
      <tableStyleElement type="firstRowStripe" dxfId="333"/>
      <tableStyleElement type="secondRowStripe" dxfId="332"/>
    </tableStyle>
  </tableStyles>
  <colors>
    <mruColors>
      <color rgb="FF43B02A"/>
      <color rgb="FF00A3E0"/>
      <color rgb="FF1006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5.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eetMetadata" Target="metadata.xml"/><Relationship Id="rId38"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37"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pivotCacheDefinition" Target="pivotCache/pivotCacheDefinition1.xml"/><Relationship Id="rId36"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connections" Target="connections.xml"/><Relationship Id="rId35"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4.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5.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6.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7.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8.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9.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0.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1.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2.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3.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4.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5.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6.xml.rels><?xml version="1.0" encoding="UTF-8" standalone="yes"?>
<Relationships xmlns="http://schemas.openxmlformats.org/package/2006/relationships"><Relationship Id="rId3" Type="http://schemas.openxmlformats.org/officeDocument/2006/relationships/chartUserShapes" Target="../drawings/drawing14.xml"/><Relationship Id="rId2" Type="http://schemas.microsoft.com/office/2011/relationships/chartColorStyle" Target="colors18.xml"/><Relationship Id="rId1" Type="http://schemas.microsoft.com/office/2011/relationships/chartStyle" Target="style18.xml"/></Relationships>
</file>

<file path=xl/charts/_rels/chart17.xml.rels><?xml version="1.0" encoding="UTF-8" standalone="yes"?>
<Relationships xmlns="http://schemas.openxmlformats.org/package/2006/relationships"><Relationship Id="rId3" Type="http://schemas.openxmlformats.org/officeDocument/2006/relationships/chartUserShapes" Target="../drawings/drawing15.xml"/><Relationship Id="rId2" Type="http://schemas.microsoft.com/office/2011/relationships/chartColorStyle" Target="colors19.xml"/><Relationship Id="rId1" Type="http://schemas.microsoft.com/office/2011/relationships/chartStyle" Target="style19.xml"/></Relationships>
</file>

<file path=xl/charts/_rels/chart18.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19.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0.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1.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2.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3.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2.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Summary!$H$5</c:f>
              <c:strCache>
                <c:ptCount val="1"/>
                <c:pt idx="0">
                  <c:v>total_u</c:v>
                </c:pt>
              </c:strCache>
            </c:strRef>
          </c:tx>
          <c:spPr>
            <a:solidFill>
              <a:schemeClr val="accent1"/>
            </a:solidFill>
            <a:ln>
              <a:noFill/>
            </a:ln>
            <a:effectLst/>
          </c:spPr>
          <c:invertIfNegative val="0"/>
          <c:cat>
            <c:multiLvlStrRef>
              <c:extLst>
                <c:ext xmlns:c15="http://schemas.microsoft.com/office/drawing/2012/chart" uri="{02D57815-91ED-43cb-92C2-25804820EDAC}">
                  <c15:fullRef>
                    <c15:sqref>Summary!$A$6:$B$76</c15:sqref>
                  </c15:fullRef>
                </c:ext>
              </c:extLst>
              <c:f>Summary!$A$7:$B$76</c:f>
              <c:multiLvlStrCache>
                <c:ptCount val="5"/>
                <c:lvl>
                  <c:pt idx="0">
                    <c:v>ZH-221D</c:v>
                  </c:pt>
                  <c:pt idx="1">
                    <c:v>RU-4629</c:v>
                  </c:pt>
                  <c:pt idx="2">
                    <c:v>#ND#</c:v>
                  </c:pt>
                  <c:pt idx="3">
                    <c:v>RU-1BA5</c:v>
                  </c:pt>
                  <c:pt idx="4">
                    <c:v>UR-04AE</c:v>
                  </c:pt>
                </c:lvl>
                <c:lvl>
                  <c:pt idx="0">
                    <c:v>P853275</c:v>
                  </c:pt>
                  <c:pt idx="1">
                    <c:v>P892467</c:v>
                  </c:pt>
                  <c:pt idx="2">
                    <c:v>P833115</c:v>
                  </c:pt>
                  <c:pt idx="3">
                    <c:v>P906799</c:v>
                  </c:pt>
                  <c:pt idx="4">
                    <c:v>P907514</c:v>
                  </c:pt>
                </c:lvl>
              </c:multiLvlStrCache>
            </c:multiLvlStrRef>
          </c:cat>
          <c:val>
            <c:numRef>
              <c:extLst>
                <c:ext xmlns:c15="http://schemas.microsoft.com/office/drawing/2012/chart" uri="{02D57815-91ED-43cb-92C2-25804820EDAC}">
                  <c15:fullRef>
                    <c15:sqref>Summary!$H$6:$H$76</c15:sqref>
                  </c15:fullRef>
                </c:ext>
              </c:extLst>
              <c:f>Summary!$H$7:$H$76</c:f>
              <c:numCache>
                <c:formatCode>General</c:formatCode>
                <c:ptCount val="5"/>
                <c:pt idx="0">
                  <c:v>5</c:v>
                </c:pt>
                <c:pt idx="1">
                  <c:v>2</c:v>
                </c:pt>
                <c:pt idx="2">
                  <c:v>2</c:v>
                </c:pt>
                <c:pt idx="3">
                  <c:v>2</c:v>
                </c:pt>
                <c:pt idx="4">
                  <c:v>2</c:v>
                </c:pt>
              </c:numCache>
            </c:numRef>
          </c:val>
          <c:extLst>
            <c:ext xmlns:c16="http://schemas.microsoft.com/office/drawing/2014/chart" uri="{C3380CC4-5D6E-409C-BE32-E72D297353CC}">
              <c16:uniqueId val="{00000000-86BD-4210-848B-7227D6D9B3D6}"/>
            </c:ext>
          </c:extLst>
        </c:ser>
        <c:ser>
          <c:idx val="1"/>
          <c:order val="1"/>
          <c:tx>
            <c:strRef>
              <c:f>Summary!$I$5</c:f>
              <c:strCache>
                <c:ptCount val="1"/>
                <c:pt idx="0">
                  <c:v>total_p</c:v>
                </c:pt>
              </c:strCache>
            </c:strRef>
          </c:tx>
          <c:spPr>
            <a:solidFill>
              <a:schemeClr val="accent2"/>
            </a:solidFill>
            <a:ln>
              <a:noFill/>
            </a:ln>
            <a:effectLst/>
          </c:spPr>
          <c:invertIfNegative val="0"/>
          <c:cat>
            <c:multiLvlStrRef>
              <c:extLst>
                <c:ext xmlns:c15="http://schemas.microsoft.com/office/drawing/2012/chart" uri="{02D57815-91ED-43cb-92C2-25804820EDAC}">
                  <c15:fullRef>
                    <c15:sqref>Summary!$A$6:$B$76</c15:sqref>
                  </c15:fullRef>
                </c:ext>
              </c:extLst>
              <c:f>Summary!$A$7:$B$76</c:f>
              <c:multiLvlStrCache>
                <c:ptCount val="5"/>
                <c:lvl>
                  <c:pt idx="0">
                    <c:v>ZH-221D</c:v>
                  </c:pt>
                  <c:pt idx="1">
                    <c:v>RU-4629</c:v>
                  </c:pt>
                  <c:pt idx="2">
                    <c:v>#ND#</c:v>
                  </c:pt>
                  <c:pt idx="3">
                    <c:v>RU-1BA5</c:v>
                  </c:pt>
                  <c:pt idx="4">
                    <c:v>UR-04AE</c:v>
                  </c:pt>
                </c:lvl>
                <c:lvl>
                  <c:pt idx="0">
                    <c:v>P853275</c:v>
                  </c:pt>
                  <c:pt idx="1">
                    <c:v>P892467</c:v>
                  </c:pt>
                  <c:pt idx="2">
                    <c:v>P833115</c:v>
                  </c:pt>
                  <c:pt idx="3">
                    <c:v>P906799</c:v>
                  </c:pt>
                  <c:pt idx="4">
                    <c:v>P907514</c:v>
                  </c:pt>
                </c:lvl>
              </c:multiLvlStrCache>
            </c:multiLvlStrRef>
          </c:cat>
          <c:val>
            <c:numRef>
              <c:extLst>
                <c:ext xmlns:c15="http://schemas.microsoft.com/office/drawing/2012/chart" uri="{02D57815-91ED-43cb-92C2-25804820EDAC}">
                  <c15:fullRef>
                    <c15:sqref>Summary!$I$6:$I$76</c15:sqref>
                  </c15:fullRef>
                </c:ext>
              </c:extLst>
              <c:f>Summary!$I$7:$I$76</c:f>
              <c:numCache>
                <c:formatCode>General</c:formatCode>
                <c:ptCount val="5"/>
                <c:pt idx="0">
                  <c:v>4</c:v>
                </c:pt>
                <c:pt idx="1">
                  <c:v>1</c:v>
                </c:pt>
                <c:pt idx="2">
                  <c:v>0</c:v>
                </c:pt>
                <c:pt idx="3">
                  <c:v>2</c:v>
                </c:pt>
                <c:pt idx="4">
                  <c:v>0</c:v>
                </c:pt>
              </c:numCache>
            </c:numRef>
          </c:val>
          <c:extLst>
            <c:ext xmlns:c16="http://schemas.microsoft.com/office/drawing/2014/chart" uri="{C3380CC4-5D6E-409C-BE32-E72D297353CC}">
              <c16:uniqueId val="{00000001-86BD-4210-848B-7227D6D9B3D6}"/>
            </c:ext>
          </c:extLst>
        </c:ser>
        <c:ser>
          <c:idx val="2"/>
          <c:order val="2"/>
          <c:tx>
            <c:strRef>
              <c:f>Summary!$J$5</c:f>
              <c:strCache>
                <c:ptCount val="1"/>
              </c:strCache>
            </c:strRef>
          </c:tx>
          <c:spPr>
            <a:solidFill>
              <a:schemeClr val="accent3"/>
            </a:solidFill>
            <a:ln>
              <a:noFill/>
            </a:ln>
            <a:effectLst/>
          </c:spPr>
          <c:invertIfNegative val="0"/>
          <c:cat>
            <c:multiLvlStrRef>
              <c:extLst>
                <c:ext xmlns:c15="http://schemas.microsoft.com/office/drawing/2012/chart" uri="{02D57815-91ED-43cb-92C2-25804820EDAC}">
                  <c15:fullRef>
                    <c15:sqref>Summary!$A$6:$B$76</c15:sqref>
                  </c15:fullRef>
                </c:ext>
              </c:extLst>
              <c:f>Summary!$A$7:$B$76</c:f>
              <c:multiLvlStrCache>
                <c:ptCount val="5"/>
                <c:lvl>
                  <c:pt idx="0">
                    <c:v>Error_Code</c:v>
                  </c:pt>
                  <c:pt idx="1">
                    <c:v>ZH-221D</c:v>
                  </c:pt>
                  <c:pt idx="2">
                    <c:v>RU-4629</c:v>
                  </c:pt>
                  <c:pt idx="3">
                    <c:v>#ND#</c:v>
                  </c:pt>
                  <c:pt idx="4">
                    <c:v>RU-1BA5</c:v>
                  </c:pt>
                  <c:pt idx="5">
                    <c:v>UR-04AE</c:v>
                  </c:pt>
                </c:lvl>
                <c:lvl>
                  <c:pt idx="0">
                    <c:v>AIR</c:v>
                  </c:pt>
                  <c:pt idx="1">
                    <c:v>P853275</c:v>
                  </c:pt>
                  <c:pt idx="2">
                    <c:v>P892467</c:v>
                  </c:pt>
                  <c:pt idx="3">
                    <c:v>P833115</c:v>
                  </c:pt>
                  <c:pt idx="4">
                    <c:v>P906799</c:v>
                  </c:pt>
                  <c:pt idx="5">
                    <c:v>P907514</c:v>
                  </c:pt>
                </c:lvl>
              </c:multiLvlStrCache>
            </c:multiLvlStrRef>
          </c:cat>
          <c:val>
            <c:numRef>
              <c:extLst>
                <c:ext xmlns:c15="http://schemas.microsoft.com/office/drawing/2012/chart" uri="{02D57815-91ED-43cb-92C2-25804820EDAC}">
                  <c15:fullRef>
                    <c15:sqref>Summary!$J$6:$J$76</c15:sqref>
                  </c15:fullRef>
                </c:ext>
              </c:extLst>
              <c:f>Summary!$J$7:$J$76</c:f>
            </c:numRef>
          </c:val>
          <c:extLst>
            <c:ext xmlns:c16="http://schemas.microsoft.com/office/drawing/2014/chart" uri="{C3380CC4-5D6E-409C-BE32-E72D297353CC}">
              <c16:uniqueId val="{00000002-86BD-4210-848B-7227D6D9B3D6}"/>
            </c:ext>
          </c:extLst>
        </c:ser>
        <c:ser>
          <c:idx val="3"/>
          <c:order val="3"/>
          <c:tx>
            <c:strRef>
              <c:f>Summary!$K$5</c:f>
              <c:strCache>
                <c:ptCount val="1"/>
                <c:pt idx="0">
                  <c:v>CR51</c:v>
                </c:pt>
              </c:strCache>
              <c:extLst xmlns:c15="http://schemas.microsoft.com/office/drawing/2012/chart"/>
            </c:strRef>
          </c:tx>
          <c:spPr>
            <a:solidFill>
              <a:schemeClr val="accent4"/>
            </a:solidFill>
            <a:ln>
              <a:noFill/>
            </a:ln>
            <a:effectLst/>
          </c:spPr>
          <c:invertIfNegative val="0"/>
          <c:cat>
            <c:multiLvlStrRef>
              <c:extLst>
                <c:ext xmlns:c15="http://schemas.microsoft.com/office/drawing/2012/chart" uri="{02D57815-91ED-43cb-92C2-25804820EDAC}">
                  <c15:fullRef>
                    <c15:sqref>Summary!$A$6:$B$76</c15:sqref>
                  </c15:fullRef>
                </c:ext>
              </c:extLst>
              <c:f>Summary!$A$7:$B$76</c:f>
              <c:multiLvlStrCache>
                <c:ptCount val="5"/>
                <c:lvl>
                  <c:pt idx="0">
                    <c:v>ZH-221D</c:v>
                  </c:pt>
                  <c:pt idx="1">
                    <c:v>RU-4629</c:v>
                  </c:pt>
                  <c:pt idx="2">
                    <c:v>#ND#</c:v>
                  </c:pt>
                  <c:pt idx="3">
                    <c:v>RU-1BA5</c:v>
                  </c:pt>
                  <c:pt idx="4">
                    <c:v>UR-04AE</c:v>
                  </c:pt>
                </c:lvl>
                <c:lvl>
                  <c:pt idx="0">
                    <c:v>P853275</c:v>
                  </c:pt>
                  <c:pt idx="1">
                    <c:v>P892467</c:v>
                  </c:pt>
                  <c:pt idx="2">
                    <c:v>P833115</c:v>
                  </c:pt>
                  <c:pt idx="3">
                    <c:v>P906799</c:v>
                  </c:pt>
                  <c:pt idx="4">
                    <c:v>P907514</c:v>
                  </c:pt>
                </c:lvl>
              </c:multiLvlStrCache>
            </c:multiLvlStrRef>
          </c:cat>
          <c:val>
            <c:numRef>
              <c:extLst>
                <c:ext xmlns:c15="http://schemas.microsoft.com/office/drawing/2012/chart" uri="{02D57815-91ED-43cb-92C2-25804820EDAC}">
                  <c15:fullRef>
                    <c15:sqref>Summary!$K$6:$K$76</c15:sqref>
                  </c15:fullRef>
                </c:ext>
              </c:extLst>
              <c:f>Summary!$K$7:$K$76</c:f>
              <c:numCache>
                <c:formatCode>General</c:formatCode>
                <c:ptCount val="5"/>
                <c:pt idx="0">
                  <c:v>0</c:v>
                </c:pt>
                <c:pt idx="1">
                  <c:v>0</c:v>
                </c:pt>
                <c:pt idx="2">
                  <c:v>0</c:v>
                </c:pt>
                <c:pt idx="3">
                  <c:v>0</c:v>
                </c:pt>
                <c:pt idx="4">
                  <c:v>0</c:v>
                </c:pt>
              </c:numCache>
            </c:numRef>
          </c:val>
          <c:extLst xmlns:c15="http://schemas.microsoft.com/office/drawing/2012/chart">
            <c:ext xmlns:c16="http://schemas.microsoft.com/office/drawing/2014/chart" uri="{C3380CC4-5D6E-409C-BE32-E72D297353CC}">
              <c16:uniqueId val="{00000003-86BD-4210-848B-7227D6D9B3D6}"/>
            </c:ext>
          </c:extLst>
        </c:ser>
        <c:ser>
          <c:idx val="4"/>
          <c:order val="4"/>
          <c:tx>
            <c:strRef>
              <c:f>Summary!$L$5</c:f>
              <c:strCache>
                <c:ptCount val="1"/>
                <c:pt idx="0">
                  <c:v>GY86</c:v>
                </c:pt>
              </c:strCache>
              <c:extLst xmlns:c15="http://schemas.microsoft.com/office/drawing/2012/chart"/>
            </c:strRef>
          </c:tx>
          <c:spPr>
            <a:solidFill>
              <a:schemeClr val="accent5"/>
            </a:solidFill>
            <a:ln>
              <a:noFill/>
            </a:ln>
            <a:effectLst/>
          </c:spPr>
          <c:invertIfNegative val="0"/>
          <c:cat>
            <c:multiLvlStrRef>
              <c:extLst>
                <c:ext xmlns:c15="http://schemas.microsoft.com/office/drawing/2012/chart" uri="{02D57815-91ED-43cb-92C2-25804820EDAC}">
                  <c15:fullRef>
                    <c15:sqref>Summary!$A$6:$B$76</c15:sqref>
                  </c15:fullRef>
                </c:ext>
              </c:extLst>
              <c:f>Summary!$A$7:$B$76</c:f>
              <c:multiLvlStrCache>
                <c:ptCount val="5"/>
                <c:lvl>
                  <c:pt idx="0">
                    <c:v>ZH-221D</c:v>
                  </c:pt>
                  <c:pt idx="1">
                    <c:v>RU-4629</c:v>
                  </c:pt>
                  <c:pt idx="2">
                    <c:v>#ND#</c:v>
                  </c:pt>
                  <c:pt idx="3">
                    <c:v>RU-1BA5</c:v>
                  </c:pt>
                  <c:pt idx="4">
                    <c:v>UR-04AE</c:v>
                  </c:pt>
                </c:lvl>
                <c:lvl>
                  <c:pt idx="0">
                    <c:v>P853275</c:v>
                  </c:pt>
                  <c:pt idx="1">
                    <c:v>P892467</c:v>
                  </c:pt>
                  <c:pt idx="2">
                    <c:v>P833115</c:v>
                  </c:pt>
                  <c:pt idx="3">
                    <c:v>P906799</c:v>
                  </c:pt>
                  <c:pt idx="4">
                    <c:v>P907514</c:v>
                  </c:pt>
                </c:lvl>
              </c:multiLvlStrCache>
            </c:multiLvlStrRef>
          </c:cat>
          <c:val>
            <c:numRef>
              <c:extLst>
                <c:ext xmlns:c15="http://schemas.microsoft.com/office/drawing/2012/chart" uri="{02D57815-91ED-43cb-92C2-25804820EDAC}">
                  <c15:fullRef>
                    <c15:sqref>Summary!$L$6:$L$76</c15:sqref>
                  </c15:fullRef>
                </c:ext>
              </c:extLst>
              <c:f>Summary!$L$7:$L$76</c:f>
              <c:numCache>
                <c:formatCode>General</c:formatCode>
                <c:ptCount val="5"/>
                <c:pt idx="0">
                  <c:v>5</c:v>
                </c:pt>
                <c:pt idx="1">
                  <c:v>0</c:v>
                </c:pt>
                <c:pt idx="2">
                  <c:v>0</c:v>
                </c:pt>
                <c:pt idx="3">
                  <c:v>0</c:v>
                </c:pt>
                <c:pt idx="4">
                  <c:v>0</c:v>
                </c:pt>
              </c:numCache>
            </c:numRef>
          </c:val>
          <c:extLst xmlns:c15="http://schemas.microsoft.com/office/drawing/2012/chart">
            <c:ext xmlns:c16="http://schemas.microsoft.com/office/drawing/2014/chart" uri="{C3380CC4-5D6E-409C-BE32-E72D297353CC}">
              <c16:uniqueId val="{00000004-86BD-4210-848B-7227D6D9B3D6}"/>
            </c:ext>
          </c:extLst>
        </c:ser>
        <c:ser>
          <c:idx val="5"/>
          <c:order val="5"/>
          <c:tx>
            <c:strRef>
              <c:f>Summary!$M$5</c:f>
              <c:strCache>
                <c:ptCount val="1"/>
                <c:pt idx="0">
                  <c:v>GT69</c:v>
                </c:pt>
              </c:strCache>
              <c:extLst xmlns:c15="http://schemas.microsoft.com/office/drawing/2012/chart"/>
            </c:strRef>
          </c:tx>
          <c:spPr>
            <a:solidFill>
              <a:schemeClr val="accent6"/>
            </a:solidFill>
            <a:ln>
              <a:noFill/>
            </a:ln>
            <a:effectLst/>
          </c:spPr>
          <c:invertIfNegative val="0"/>
          <c:cat>
            <c:multiLvlStrRef>
              <c:extLst>
                <c:ext xmlns:c15="http://schemas.microsoft.com/office/drawing/2012/chart" uri="{02D57815-91ED-43cb-92C2-25804820EDAC}">
                  <c15:fullRef>
                    <c15:sqref>Summary!$A$6:$B$76</c15:sqref>
                  </c15:fullRef>
                </c:ext>
              </c:extLst>
              <c:f>Summary!$A$7:$B$76</c:f>
              <c:multiLvlStrCache>
                <c:ptCount val="5"/>
                <c:lvl>
                  <c:pt idx="0">
                    <c:v>ZH-221D</c:v>
                  </c:pt>
                  <c:pt idx="1">
                    <c:v>RU-4629</c:v>
                  </c:pt>
                  <c:pt idx="2">
                    <c:v>#ND#</c:v>
                  </c:pt>
                  <c:pt idx="3">
                    <c:v>RU-1BA5</c:v>
                  </c:pt>
                  <c:pt idx="4">
                    <c:v>UR-04AE</c:v>
                  </c:pt>
                </c:lvl>
                <c:lvl>
                  <c:pt idx="0">
                    <c:v>P853275</c:v>
                  </c:pt>
                  <c:pt idx="1">
                    <c:v>P892467</c:v>
                  </c:pt>
                  <c:pt idx="2">
                    <c:v>P833115</c:v>
                  </c:pt>
                  <c:pt idx="3">
                    <c:v>P906799</c:v>
                  </c:pt>
                  <c:pt idx="4">
                    <c:v>P907514</c:v>
                  </c:pt>
                </c:lvl>
              </c:multiLvlStrCache>
            </c:multiLvlStrRef>
          </c:cat>
          <c:val>
            <c:numRef>
              <c:extLst>
                <c:ext xmlns:c15="http://schemas.microsoft.com/office/drawing/2012/chart" uri="{02D57815-91ED-43cb-92C2-25804820EDAC}">
                  <c15:fullRef>
                    <c15:sqref>Summary!$M$6:$M$76</c15:sqref>
                  </c15:fullRef>
                </c:ext>
              </c:extLst>
              <c:f>Summary!$M$7:$M$76</c:f>
              <c:numCache>
                <c:formatCode>General</c:formatCode>
                <c:ptCount val="5"/>
                <c:pt idx="0">
                  <c:v>0</c:v>
                </c:pt>
                <c:pt idx="1">
                  <c:v>2</c:v>
                </c:pt>
                <c:pt idx="2">
                  <c:v>2</c:v>
                </c:pt>
                <c:pt idx="3">
                  <c:v>2</c:v>
                </c:pt>
                <c:pt idx="4">
                  <c:v>2</c:v>
                </c:pt>
              </c:numCache>
            </c:numRef>
          </c:val>
          <c:extLst xmlns:c15="http://schemas.microsoft.com/office/drawing/2012/chart">
            <c:ext xmlns:c16="http://schemas.microsoft.com/office/drawing/2014/chart" uri="{C3380CC4-5D6E-409C-BE32-E72D297353CC}">
              <c16:uniqueId val="{00000005-86BD-4210-848B-7227D6D9B3D6}"/>
            </c:ext>
          </c:extLst>
        </c:ser>
        <c:ser>
          <c:idx val="6"/>
          <c:order val="6"/>
          <c:tx>
            <c:strRef>
              <c:f>Summary!$N$5</c:f>
              <c:strCache>
                <c:ptCount val="1"/>
                <c:pt idx="0">
                  <c:v>CR51</c:v>
                </c:pt>
              </c:strCache>
              <c:extLst xmlns:c15="http://schemas.microsoft.com/office/drawing/2012/chart"/>
            </c:strRef>
          </c:tx>
          <c:spPr>
            <a:solidFill>
              <a:schemeClr val="accent1">
                <a:lumMod val="60000"/>
              </a:schemeClr>
            </a:solidFill>
            <a:ln>
              <a:noFill/>
            </a:ln>
            <a:effectLst/>
          </c:spPr>
          <c:invertIfNegative val="0"/>
          <c:cat>
            <c:multiLvlStrRef>
              <c:extLst>
                <c:ext xmlns:c15="http://schemas.microsoft.com/office/drawing/2012/chart" uri="{02D57815-91ED-43cb-92C2-25804820EDAC}">
                  <c15:fullRef>
                    <c15:sqref>Summary!$A$6:$B$76</c15:sqref>
                  </c15:fullRef>
                </c:ext>
              </c:extLst>
              <c:f>Summary!$A$7:$B$76</c:f>
              <c:multiLvlStrCache>
                <c:ptCount val="5"/>
                <c:lvl>
                  <c:pt idx="0">
                    <c:v>ZH-221D</c:v>
                  </c:pt>
                  <c:pt idx="1">
                    <c:v>RU-4629</c:v>
                  </c:pt>
                  <c:pt idx="2">
                    <c:v>#ND#</c:v>
                  </c:pt>
                  <c:pt idx="3">
                    <c:v>RU-1BA5</c:v>
                  </c:pt>
                  <c:pt idx="4">
                    <c:v>UR-04AE</c:v>
                  </c:pt>
                </c:lvl>
                <c:lvl>
                  <c:pt idx="0">
                    <c:v>P853275</c:v>
                  </c:pt>
                  <c:pt idx="1">
                    <c:v>P892467</c:v>
                  </c:pt>
                  <c:pt idx="2">
                    <c:v>P833115</c:v>
                  </c:pt>
                  <c:pt idx="3">
                    <c:v>P906799</c:v>
                  </c:pt>
                  <c:pt idx="4">
                    <c:v>P907514</c:v>
                  </c:pt>
                </c:lvl>
              </c:multiLvlStrCache>
            </c:multiLvlStrRef>
          </c:cat>
          <c:val>
            <c:numRef>
              <c:extLst>
                <c:ext xmlns:c15="http://schemas.microsoft.com/office/drawing/2012/chart" uri="{02D57815-91ED-43cb-92C2-25804820EDAC}">
                  <c15:fullRef>
                    <c15:sqref>Summary!$N$6:$N$76</c15:sqref>
                  </c15:fullRef>
                </c:ext>
              </c:extLst>
              <c:f>Summary!$N$7:$N$76</c:f>
              <c:numCache>
                <c:formatCode>General</c:formatCode>
                <c:ptCount val="5"/>
                <c:pt idx="0">
                  <c:v>0</c:v>
                </c:pt>
                <c:pt idx="1">
                  <c:v>0</c:v>
                </c:pt>
                <c:pt idx="2">
                  <c:v>0</c:v>
                </c:pt>
                <c:pt idx="3">
                  <c:v>0</c:v>
                </c:pt>
                <c:pt idx="4">
                  <c:v>0</c:v>
                </c:pt>
              </c:numCache>
            </c:numRef>
          </c:val>
          <c:extLst xmlns:c15="http://schemas.microsoft.com/office/drawing/2012/chart">
            <c:ext xmlns:c16="http://schemas.microsoft.com/office/drawing/2014/chart" uri="{C3380CC4-5D6E-409C-BE32-E72D297353CC}">
              <c16:uniqueId val="{00000006-86BD-4210-848B-7227D6D9B3D6}"/>
            </c:ext>
          </c:extLst>
        </c:ser>
        <c:ser>
          <c:idx val="7"/>
          <c:order val="7"/>
          <c:tx>
            <c:strRef>
              <c:f>Summary!$O$5</c:f>
              <c:strCache>
                <c:ptCount val="1"/>
                <c:pt idx="0">
                  <c:v>GY86</c:v>
                </c:pt>
              </c:strCache>
              <c:extLst xmlns:c15="http://schemas.microsoft.com/office/drawing/2012/chart"/>
            </c:strRef>
          </c:tx>
          <c:spPr>
            <a:solidFill>
              <a:schemeClr val="accent2">
                <a:lumMod val="60000"/>
              </a:schemeClr>
            </a:solidFill>
            <a:ln>
              <a:noFill/>
            </a:ln>
            <a:effectLst/>
          </c:spPr>
          <c:invertIfNegative val="0"/>
          <c:cat>
            <c:multiLvlStrRef>
              <c:extLst>
                <c:ext xmlns:c15="http://schemas.microsoft.com/office/drawing/2012/chart" uri="{02D57815-91ED-43cb-92C2-25804820EDAC}">
                  <c15:fullRef>
                    <c15:sqref>Summary!$A$6:$B$76</c15:sqref>
                  </c15:fullRef>
                </c:ext>
              </c:extLst>
              <c:f>Summary!$A$7:$B$76</c:f>
              <c:multiLvlStrCache>
                <c:ptCount val="5"/>
                <c:lvl>
                  <c:pt idx="0">
                    <c:v>ZH-221D</c:v>
                  </c:pt>
                  <c:pt idx="1">
                    <c:v>RU-4629</c:v>
                  </c:pt>
                  <c:pt idx="2">
                    <c:v>#ND#</c:v>
                  </c:pt>
                  <c:pt idx="3">
                    <c:v>RU-1BA5</c:v>
                  </c:pt>
                  <c:pt idx="4">
                    <c:v>UR-04AE</c:v>
                  </c:pt>
                </c:lvl>
                <c:lvl>
                  <c:pt idx="0">
                    <c:v>P853275</c:v>
                  </c:pt>
                  <c:pt idx="1">
                    <c:v>P892467</c:v>
                  </c:pt>
                  <c:pt idx="2">
                    <c:v>P833115</c:v>
                  </c:pt>
                  <c:pt idx="3">
                    <c:v>P906799</c:v>
                  </c:pt>
                  <c:pt idx="4">
                    <c:v>P907514</c:v>
                  </c:pt>
                </c:lvl>
              </c:multiLvlStrCache>
            </c:multiLvlStrRef>
          </c:cat>
          <c:val>
            <c:numRef>
              <c:extLst>
                <c:ext xmlns:c15="http://schemas.microsoft.com/office/drawing/2012/chart" uri="{02D57815-91ED-43cb-92C2-25804820EDAC}">
                  <c15:fullRef>
                    <c15:sqref>Summary!$O$6:$O$76</c15:sqref>
                  </c15:fullRef>
                </c:ext>
              </c:extLst>
              <c:f>Summary!$O$7:$O$76</c:f>
              <c:numCache>
                <c:formatCode>General</c:formatCode>
                <c:ptCount val="5"/>
                <c:pt idx="0">
                  <c:v>4</c:v>
                </c:pt>
                <c:pt idx="1">
                  <c:v>0</c:v>
                </c:pt>
                <c:pt idx="2">
                  <c:v>0</c:v>
                </c:pt>
                <c:pt idx="3">
                  <c:v>0</c:v>
                </c:pt>
                <c:pt idx="4">
                  <c:v>0</c:v>
                </c:pt>
              </c:numCache>
            </c:numRef>
          </c:val>
          <c:extLst xmlns:c15="http://schemas.microsoft.com/office/drawing/2012/chart">
            <c:ext xmlns:c16="http://schemas.microsoft.com/office/drawing/2014/chart" uri="{C3380CC4-5D6E-409C-BE32-E72D297353CC}">
              <c16:uniqueId val="{00000007-86BD-4210-848B-7227D6D9B3D6}"/>
            </c:ext>
          </c:extLst>
        </c:ser>
        <c:ser>
          <c:idx val="8"/>
          <c:order val="8"/>
          <c:tx>
            <c:strRef>
              <c:f>Summary!$P$5</c:f>
              <c:strCache>
                <c:ptCount val="1"/>
                <c:pt idx="0">
                  <c:v>GT69</c:v>
                </c:pt>
              </c:strCache>
              <c:extLst xmlns:c15="http://schemas.microsoft.com/office/drawing/2012/chart"/>
            </c:strRef>
          </c:tx>
          <c:spPr>
            <a:solidFill>
              <a:schemeClr val="accent3">
                <a:lumMod val="60000"/>
              </a:schemeClr>
            </a:solidFill>
            <a:ln>
              <a:noFill/>
            </a:ln>
            <a:effectLst/>
          </c:spPr>
          <c:invertIfNegative val="0"/>
          <c:cat>
            <c:multiLvlStrRef>
              <c:extLst>
                <c:ext xmlns:c15="http://schemas.microsoft.com/office/drawing/2012/chart" uri="{02D57815-91ED-43cb-92C2-25804820EDAC}">
                  <c15:fullRef>
                    <c15:sqref>Summary!$A$6:$B$76</c15:sqref>
                  </c15:fullRef>
                </c:ext>
              </c:extLst>
              <c:f>Summary!$A$7:$B$76</c:f>
              <c:multiLvlStrCache>
                <c:ptCount val="5"/>
                <c:lvl>
                  <c:pt idx="0">
                    <c:v>ZH-221D</c:v>
                  </c:pt>
                  <c:pt idx="1">
                    <c:v>RU-4629</c:v>
                  </c:pt>
                  <c:pt idx="2">
                    <c:v>#ND#</c:v>
                  </c:pt>
                  <c:pt idx="3">
                    <c:v>RU-1BA5</c:v>
                  </c:pt>
                  <c:pt idx="4">
                    <c:v>UR-04AE</c:v>
                  </c:pt>
                </c:lvl>
                <c:lvl>
                  <c:pt idx="0">
                    <c:v>P853275</c:v>
                  </c:pt>
                  <c:pt idx="1">
                    <c:v>P892467</c:v>
                  </c:pt>
                  <c:pt idx="2">
                    <c:v>P833115</c:v>
                  </c:pt>
                  <c:pt idx="3">
                    <c:v>P906799</c:v>
                  </c:pt>
                  <c:pt idx="4">
                    <c:v>P907514</c:v>
                  </c:pt>
                </c:lvl>
              </c:multiLvlStrCache>
            </c:multiLvlStrRef>
          </c:cat>
          <c:val>
            <c:numRef>
              <c:extLst>
                <c:ext xmlns:c15="http://schemas.microsoft.com/office/drawing/2012/chart" uri="{02D57815-91ED-43cb-92C2-25804820EDAC}">
                  <c15:fullRef>
                    <c15:sqref>Summary!$P$6:$P$76</c15:sqref>
                  </c15:fullRef>
                </c:ext>
              </c:extLst>
              <c:f>Summary!$P$7:$P$76</c:f>
              <c:numCache>
                <c:formatCode>General</c:formatCode>
                <c:ptCount val="5"/>
                <c:pt idx="0">
                  <c:v>0</c:v>
                </c:pt>
                <c:pt idx="1">
                  <c:v>1</c:v>
                </c:pt>
                <c:pt idx="2">
                  <c:v>0</c:v>
                </c:pt>
                <c:pt idx="3">
                  <c:v>2</c:v>
                </c:pt>
                <c:pt idx="4">
                  <c:v>0</c:v>
                </c:pt>
              </c:numCache>
            </c:numRef>
          </c:val>
          <c:extLst xmlns:c15="http://schemas.microsoft.com/office/drawing/2012/chart">
            <c:ext xmlns:c16="http://schemas.microsoft.com/office/drawing/2014/chart" uri="{C3380CC4-5D6E-409C-BE32-E72D297353CC}">
              <c16:uniqueId val="{00000008-86BD-4210-848B-7227D6D9B3D6}"/>
            </c:ext>
          </c:extLst>
        </c:ser>
        <c:dLbls>
          <c:showLegendKey val="0"/>
          <c:showVal val="0"/>
          <c:showCatName val="0"/>
          <c:showSerName val="0"/>
          <c:showPercent val="0"/>
          <c:showBubbleSize val="0"/>
        </c:dLbls>
        <c:gapWidth val="219"/>
        <c:overlap val="-27"/>
        <c:axId val="978001944"/>
        <c:axId val="1212606992"/>
        <c:extLst/>
      </c:barChart>
      <c:catAx>
        <c:axId val="9780019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12606992"/>
        <c:crosses val="autoZero"/>
        <c:auto val="1"/>
        <c:lblAlgn val="ctr"/>
        <c:lblOffset val="100"/>
        <c:noMultiLvlLbl val="0"/>
      </c:catAx>
      <c:valAx>
        <c:axId val="121260699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7800194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SAY501</a:t>
            </a:r>
            <a:r>
              <a:rPr lang="en-US" baseline="0"/>
              <a:t> SAY502 MTBFp hits</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'13_week_graph'!$E$36</c:f>
              <c:strCache>
                <c:ptCount val="1"/>
                <c:pt idx="0">
                  <c:v>phits_CR51</c:v>
                </c:pt>
              </c:strCache>
            </c:strRef>
          </c:tx>
          <c:spPr>
            <a:solidFill>
              <a:schemeClr val="accent1"/>
            </a:solidFill>
            <a:ln>
              <a:noFill/>
            </a:ln>
            <a:effectLst/>
          </c:spPr>
          <c:invertIfNegative val="0"/>
          <c:cat>
            <c:strRef>
              <c:f>'13_week_graph'!$D$37:$D$58</c:f>
              <c:strCache>
                <c:ptCount val="22"/>
                <c:pt idx="0">
                  <c:v>#N/A</c:v>
                </c:pt>
                <c:pt idx="1">
                  <c:v>#N/A</c:v>
                </c:pt>
                <c:pt idx="2">
                  <c:v>P656698_WE-0C04_WH</c:v>
                </c:pt>
                <c:pt idx="3">
                  <c:v>P820514_PX-B6FC_LASER</c:v>
                </c:pt>
                <c:pt idx="4">
                  <c:v>P829173_LAB-002D_SW Laser</c:v>
                </c:pt>
                <c:pt idx="5">
                  <c:v>P834708_WX-2508_WH</c:v>
                </c:pt>
                <c:pt idx="6">
                  <c:v>P841602_WH-252E_WH</c:v>
                </c:pt>
                <c:pt idx="7">
                  <c:v>P844973_IS-1367_TIS</c:v>
                </c:pt>
                <c:pt idx="8">
                  <c:v>P853275_ZH-221D_ILIAS</c:v>
                </c:pt>
                <c:pt idx="9">
                  <c:v>P856296_DD-0000_DC</c:v>
                </c:pt>
                <c:pt idx="10">
                  <c:v>P860104_KN-0605_METRO</c:v>
                </c:pt>
                <c:pt idx="11">
                  <c:v>P860660_RU-1B22_RH</c:v>
                </c:pt>
                <c:pt idx="12">
                  <c:v>P863919_UL-90EA_ILL</c:v>
                </c:pt>
                <c:pt idx="13">
                  <c:v>P867917_CN-0001_ILL</c:v>
                </c:pt>
                <c:pt idx="14">
                  <c:v>P870861_PG-7406_REMA</c:v>
                </c:pt>
                <c:pt idx="15">
                  <c:v>P871028_WXP-021 _SRC</c:v>
                </c:pt>
                <c:pt idx="16">
                  <c:v>P872290_WP-2C1D_WS</c:v>
                </c:pt>
                <c:pt idx="17">
                  <c:v>P872439_KU-5113_METRO</c:v>
                </c:pt>
                <c:pt idx="18">
                  <c:v>P873253_RU-2B1D_RS</c:v>
                </c:pt>
                <c:pt idx="19">
                  <c:v>P877184_LZ-2004_UVLS</c:v>
                </c:pt>
                <c:pt idx="20">
                  <c:v>P885590_CG-A309_SD</c:v>
                </c:pt>
                <c:pt idx="21">
                  <c:v>P885744_LSH-00AC_SRC</c:v>
                </c:pt>
              </c:strCache>
            </c:strRef>
          </c:cat>
          <c:val>
            <c:numRef>
              <c:f>'13_week_graph'!$E$37:$E$58</c:f>
              <c:numCache>
                <c:formatCode>General</c:formatCode>
                <c:ptCount val="22"/>
                <c:pt idx="0">
                  <c:v>1</c:v>
                </c:pt>
                <c:pt idx="1">
                  <c:v>1</c:v>
                </c:pt>
                <c:pt idx="2">
                  <c:v>0</c:v>
                </c:pt>
                <c:pt idx="3">
                  <c:v>1</c:v>
                </c:pt>
                <c:pt idx="4">
                  <c:v>1</c:v>
                </c:pt>
                <c:pt idx="5">
                  <c:v>1</c:v>
                </c:pt>
                <c:pt idx="6">
                  <c:v>1</c:v>
                </c:pt>
                <c:pt idx="7">
                  <c:v>1</c:v>
                </c:pt>
                <c:pt idx="8">
                  <c:v>0</c:v>
                </c:pt>
                <c:pt idx="9">
                  <c:v>0</c:v>
                </c:pt>
                <c:pt idx="10">
                  <c:v>3</c:v>
                </c:pt>
                <c:pt idx="11">
                  <c:v>4</c:v>
                </c:pt>
                <c:pt idx="12">
                  <c:v>3</c:v>
                </c:pt>
                <c:pt idx="13">
                  <c:v>0</c:v>
                </c:pt>
                <c:pt idx="14">
                  <c:v>0</c:v>
                </c:pt>
                <c:pt idx="15">
                  <c:v>0</c:v>
                </c:pt>
                <c:pt idx="16">
                  <c:v>1</c:v>
                </c:pt>
                <c:pt idx="17">
                  <c:v>0</c:v>
                </c:pt>
                <c:pt idx="18">
                  <c:v>1</c:v>
                </c:pt>
                <c:pt idx="19">
                  <c:v>0</c:v>
                </c:pt>
                <c:pt idx="20">
                  <c:v>0</c:v>
                </c:pt>
                <c:pt idx="21">
                  <c:v>1</c:v>
                </c:pt>
              </c:numCache>
            </c:numRef>
          </c:val>
          <c:extLst>
            <c:ext xmlns:c16="http://schemas.microsoft.com/office/drawing/2014/chart" uri="{C3380CC4-5D6E-409C-BE32-E72D297353CC}">
              <c16:uniqueId val="{00000000-5938-4235-9DBA-DD44B9F82243}"/>
            </c:ext>
          </c:extLst>
        </c:ser>
        <c:ser>
          <c:idx val="1"/>
          <c:order val="1"/>
          <c:tx>
            <c:strRef>
              <c:f>'13_week_graph'!$G$36</c:f>
              <c:strCache>
                <c:ptCount val="1"/>
                <c:pt idx="0">
                  <c:v>phits_GY86</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'13_week_graph'!$D$37:$D$58</c:f>
              <c:strCache>
                <c:ptCount val="22"/>
                <c:pt idx="0">
                  <c:v>#N/A</c:v>
                </c:pt>
                <c:pt idx="1">
                  <c:v>#N/A</c:v>
                </c:pt>
                <c:pt idx="2">
                  <c:v>P656698_WE-0C04_WH</c:v>
                </c:pt>
                <c:pt idx="3">
                  <c:v>P820514_PX-B6FC_LASER</c:v>
                </c:pt>
                <c:pt idx="4">
                  <c:v>P829173_LAB-002D_SW Laser</c:v>
                </c:pt>
                <c:pt idx="5">
                  <c:v>P834708_WX-2508_WH</c:v>
                </c:pt>
                <c:pt idx="6">
                  <c:v>P841602_WH-252E_WH</c:v>
                </c:pt>
                <c:pt idx="7">
                  <c:v>P844973_IS-1367_TIS</c:v>
                </c:pt>
                <c:pt idx="8">
                  <c:v>P853275_ZH-221D_ILIAS</c:v>
                </c:pt>
                <c:pt idx="9">
                  <c:v>P856296_DD-0000_DC</c:v>
                </c:pt>
                <c:pt idx="10">
                  <c:v>P860104_KN-0605_METRO</c:v>
                </c:pt>
                <c:pt idx="11">
                  <c:v>P860660_RU-1B22_RH</c:v>
                </c:pt>
                <c:pt idx="12">
                  <c:v>P863919_UL-90EA_ILL</c:v>
                </c:pt>
                <c:pt idx="13">
                  <c:v>P867917_CN-0001_ILL</c:v>
                </c:pt>
                <c:pt idx="14">
                  <c:v>P870861_PG-7406_REMA</c:v>
                </c:pt>
                <c:pt idx="15">
                  <c:v>P871028_WXP-021 _SRC</c:v>
                </c:pt>
                <c:pt idx="16">
                  <c:v>P872290_WP-2C1D_WS</c:v>
                </c:pt>
                <c:pt idx="17">
                  <c:v>P872439_KU-5113_METRO</c:v>
                </c:pt>
                <c:pt idx="18">
                  <c:v>P873253_RU-2B1D_RS</c:v>
                </c:pt>
                <c:pt idx="19">
                  <c:v>P877184_LZ-2004_UVLS</c:v>
                </c:pt>
                <c:pt idx="20">
                  <c:v>P885590_CG-A309_SD</c:v>
                </c:pt>
                <c:pt idx="21">
                  <c:v>P885744_LSH-00AC_SRC</c:v>
                </c:pt>
              </c:strCache>
            </c:strRef>
          </c:cat>
          <c:val>
            <c:numRef>
              <c:f>'13_week_graph'!$G$37:$G$58</c:f>
              <c:numCache>
                <c:formatCode>General</c:formatCode>
                <c:ptCount val="22"/>
                <c:pt idx="0">
                  <c:v>0</c:v>
                </c:pt>
                <c:pt idx="1">
                  <c:v>0</c:v>
                </c:pt>
                <c:pt idx="2">
                  <c:v>1</c:v>
                </c:pt>
                <c:pt idx="3">
                  <c:v>1</c:v>
                </c:pt>
                <c:pt idx="4">
                  <c:v>1</c:v>
                </c:pt>
                <c:pt idx="5">
                  <c:v>0</c:v>
                </c:pt>
                <c:pt idx="6">
                  <c:v>0</c:v>
                </c:pt>
                <c:pt idx="7">
                  <c:v>0</c:v>
                </c:pt>
                <c:pt idx="8">
                  <c:v>4</c:v>
                </c:pt>
                <c:pt idx="9">
                  <c:v>1</c:v>
                </c:pt>
                <c:pt idx="10">
                  <c:v>0</c:v>
                </c:pt>
                <c:pt idx="11">
                  <c:v>0</c:v>
                </c:pt>
                <c:pt idx="12">
                  <c:v>0</c:v>
                </c:pt>
                <c:pt idx="13">
                  <c:v>2</c:v>
                </c:pt>
                <c:pt idx="14">
                  <c:v>1</c:v>
                </c:pt>
                <c:pt idx="15">
                  <c:v>1</c:v>
                </c:pt>
                <c:pt idx="16">
                  <c:v>0</c:v>
                </c:pt>
                <c:pt idx="17">
                  <c:v>4</c:v>
                </c:pt>
                <c:pt idx="18">
                  <c:v>0</c:v>
                </c:pt>
                <c:pt idx="19">
                  <c:v>1</c:v>
                </c:pt>
                <c:pt idx="20">
                  <c:v>2</c:v>
                </c:pt>
                <c:pt idx="21">
                  <c:v>0</c:v>
                </c:pt>
              </c:numCache>
            </c:numRef>
          </c:val>
          <c:extLst>
            <c:ext xmlns:c16="http://schemas.microsoft.com/office/drawing/2014/chart" uri="{C3380CC4-5D6E-409C-BE32-E72D297353CC}">
              <c16:uniqueId val="{00000001-5938-4235-9DBA-DD44B9F82243}"/>
            </c:ext>
          </c:extLst>
        </c:ser>
        <c:dLbls>
          <c:showLegendKey val="0"/>
          <c:showVal val="0"/>
          <c:showCatName val="0"/>
          <c:showSerName val="0"/>
          <c:showPercent val="0"/>
          <c:showBubbleSize val="0"/>
        </c:dLbls>
        <c:gapWidth val="150"/>
        <c:overlap val="100"/>
        <c:axId val="366082703"/>
        <c:axId val="366080183"/>
      </c:barChart>
      <c:catAx>
        <c:axId val="36608270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6080183"/>
        <c:crosses val="autoZero"/>
        <c:auto val="1"/>
        <c:lblAlgn val="ctr"/>
        <c:lblOffset val="100"/>
        <c:noMultiLvlLbl val="0"/>
      </c:catAx>
      <c:valAx>
        <c:axId val="36608018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608270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MTBF</a:t>
            </a:r>
            <a:r>
              <a:rPr lang="en-US" baseline="0"/>
              <a:t> p hits </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1792193052035574E-2"/>
          <c:y val="5.2538169783669056E-2"/>
          <c:w val="0.95018978892994643"/>
          <c:h val="0.76881772892745892"/>
        </c:manualLayout>
      </c:layout>
      <c:barChart>
        <c:barDir val="col"/>
        <c:grouping val="clustered"/>
        <c:varyColors val="0"/>
        <c:ser>
          <c:idx val="0"/>
          <c:order val="0"/>
          <c:tx>
            <c:strRef>
              <c:f>'13_week_graph'!$E$4</c:f>
              <c:strCache>
                <c:ptCount val="1"/>
                <c:pt idx="0">
                  <c:v>Freq</c:v>
                </c:pt>
              </c:strCache>
            </c:strRef>
          </c:tx>
          <c:spPr>
            <a:solidFill>
              <a:schemeClr val="accent1"/>
            </a:solidFill>
            <a:ln>
              <a:noFill/>
            </a:ln>
            <a:effectLst/>
          </c:spPr>
          <c:invertIfNegative val="0"/>
          <c:dLbls>
            <c:dLbl>
              <c:idx val="0"/>
              <c:layout>
                <c:manualLayout>
                  <c:x val="0"/>
                  <c:y val="-0.12384516428987444"/>
                </c:manualLayout>
              </c:layout>
              <c:tx>
                <c:rich>
                  <a:bodyPr/>
                  <a:lstStyle/>
                  <a:p>
                    <a:fld id="{FCCF9BAA-0C0B-4CEF-82F2-11410357FDF4}" type="CELLRANGE">
                      <a:rPr lang="en-US"/>
                      <a:pPr/>
                      <a:t>[CELLRANGE]</a:t>
                    </a:fld>
                    <a:r>
                      <a:rPr lang="en-US" baseline="0"/>
                      <a:t>, </a:t>
                    </a:r>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863C-4E88-BCA2-B4556889DE37}"/>
                </c:ext>
              </c:extLst>
            </c:dLbl>
            <c:dLbl>
              <c:idx val="1"/>
              <c:layout>
                <c:manualLayout>
                  <c:x val="0.20475020475020475"/>
                  <c:y val="-0.14781519608791466"/>
                </c:manualLayout>
              </c:layout>
              <c:tx>
                <c:rich>
                  <a:bodyPr/>
                  <a:lstStyle/>
                  <a:p>
                    <a:fld id="{0BDBA78D-6537-4645-A4F1-E0713083BA2B}"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863C-4E88-BCA2-B4556889DE37}"/>
                </c:ext>
              </c:extLst>
            </c:dLbl>
            <c:dLbl>
              <c:idx val="2"/>
              <c:layout>
                <c:manualLayout>
                  <c:x val="0.17293386241037792"/>
                  <c:y val="-9.5167206588455552E-2"/>
                </c:manualLayout>
              </c:layout>
              <c:tx>
                <c:rich>
                  <a:bodyPr/>
                  <a:lstStyle/>
                  <a:p>
                    <a:fld id="{00D5A00B-698A-4367-9201-B1E4ADF2D3E7}"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3-863C-4E88-BCA2-B4556889DE37}"/>
                </c:ext>
              </c:extLst>
            </c:dLbl>
            <c:dLbl>
              <c:idx val="3"/>
              <c:layout>
                <c:manualLayout>
                  <c:x val="0.10647010647010643"/>
                  <c:y val="-0.17378273053579155"/>
                </c:manualLayout>
              </c:layout>
              <c:tx>
                <c:rich>
                  <a:bodyPr/>
                  <a:lstStyle/>
                  <a:p>
                    <a:fld id="{52EBD7E6-85B8-4695-B32D-6F292AA3272F}"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863C-4E88-BCA2-B4556889DE37}"/>
                </c:ext>
              </c:extLst>
            </c:dLbl>
            <c:dLbl>
              <c:idx val="4"/>
              <c:layout>
                <c:manualLayout>
                  <c:x val="9.3366093366093333E-2"/>
                  <c:y val="-8.9887619242650804E-2"/>
                </c:manualLayout>
              </c:layout>
              <c:tx>
                <c:rich>
                  <a:bodyPr/>
                  <a:lstStyle/>
                  <a:p>
                    <a:fld id="{C02C6542-8D2C-44DB-BA1B-09EE6D456C5C}"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5-863C-4E88-BCA2-B4556889DE37}"/>
                </c:ext>
              </c:extLst>
            </c:dLbl>
            <c:dLbl>
              <c:idx val="5"/>
              <c:layout>
                <c:manualLayout>
                  <c:x val="3.6036036036036036E-2"/>
                  <c:y val="-8.3895111293140742E-2"/>
                </c:manualLayout>
              </c:layout>
              <c:tx>
                <c:rich>
                  <a:bodyPr/>
                  <a:lstStyle/>
                  <a:p>
                    <a:fld id="{E9607C64-B854-40B4-80DD-FDF54BDC5617}"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6-863C-4E88-BCA2-B4556889DE37}"/>
                </c:ext>
              </c:extLst>
            </c:dLbl>
            <c:dLbl>
              <c:idx val="6"/>
              <c:layout>
                <c:manualLayout>
                  <c:x val="6.8796068796068741E-2"/>
                  <c:y val="-0.15380770403742472"/>
                </c:manualLayout>
              </c:layout>
              <c:tx>
                <c:rich>
                  <a:bodyPr/>
                  <a:lstStyle/>
                  <a:p>
                    <a:fld id="{6D53C7B6-47A9-47D7-BD97-89DF2812C2F6}"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7-863C-4E88-BCA2-B4556889DE37}"/>
                </c:ext>
              </c:extLst>
            </c:dLbl>
            <c:dLbl>
              <c:idx val="7"/>
              <c:layout>
                <c:manualLayout>
                  <c:x val="0.1769041769041769"/>
                  <c:y val="-0.22496964543763792"/>
                </c:manualLayout>
              </c:layout>
              <c:tx>
                <c:rich>
                  <a:bodyPr/>
                  <a:lstStyle/>
                  <a:p>
                    <a:fld id="{53850A54-C0D3-4957-B63B-86018E12230E}"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8-863C-4E88-BCA2-B4556889DE37}"/>
                </c:ext>
              </c:extLst>
            </c:dLbl>
            <c:dLbl>
              <c:idx val="8"/>
              <c:layout>
                <c:manualLayout>
                  <c:x val="0.18018018018018012"/>
                  <c:y val="-9.5880127192160935E-2"/>
                </c:manualLayout>
              </c:layout>
              <c:tx>
                <c:rich>
                  <a:bodyPr/>
                  <a:lstStyle/>
                  <a:p>
                    <a:fld id="{42EFA4B8-AA8B-4934-8872-9F4DE8F5826B}"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9-863C-4E88-BCA2-B4556889DE37}"/>
                </c:ext>
              </c:extLst>
            </c:dLbl>
            <c:dLbl>
              <c:idx val="9"/>
              <c:layout>
                <c:manualLayout>
                  <c:x val="6.6664891240342423E-3"/>
                  <c:y val="-0.12671846413804902"/>
                </c:manualLayout>
              </c:layout>
              <c:tx>
                <c:rich>
                  <a:bodyPr/>
                  <a:lstStyle/>
                  <a:p>
                    <a:fld id="{9B5B4417-064B-4FD3-848E-65A71F648C0B}"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A-863C-4E88-BCA2-B4556889DE37}"/>
                </c:ext>
              </c:extLst>
            </c:dLbl>
            <c:dLbl>
              <c:idx val="10"/>
              <c:layout>
                <c:manualLayout>
                  <c:x val="-5.5116487177899403E-17"/>
                  <c:y val="-3.7691393259384004E-2"/>
                </c:manualLayout>
              </c:layout>
              <c:tx>
                <c:rich>
                  <a:bodyPr/>
                  <a:lstStyle/>
                  <a:p>
                    <a:fld id="{148F1AA1-E5B7-4611-AC33-AA445DB69A0A}"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B-863C-4E88-BCA2-B4556889DE37}"/>
                </c:ext>
              </c:extLst>
            </c:dLbl>
            <c:dLbl>
              <c:idx val="11"/>
              <c:layout>
                <c:manualLayout>
                  <c:x val="1.638001638001578E-3"/>
                  <c:y val="-0.10860603572851492"/>
                </c:manualLayout>
              </c:layout>
              <c:tx>
                <c:rich>
                  <a:bodyPr/>
                  <a:lstStyle/>
                  <a:p>
                    <a:fld id="{7755B49D-5E78-496D-9ED8-27FD95A4AFD4}"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C-863C-4E88-BCA2-B4556889DE37}"/>
                </c:ext>
              </c:extLst>
            </c:dLbl>
            <c:dLbl>
              <c:idx val="12"/>
              <c:layout>
                <c:manualLayout>
                  <c:x val="4.3544106028460088E-3"/>
                  <c:y val="-4.5407889877026708E-2"/>
                </c:manualLayout>
              </c:layout>
              <c:tx>
                <c:rich>
                  <a:bodyPr/>
                  <a:lstStyle/>
                  <a:p>
                    <a:fld id="{AF6717E0-9740-4527-A47C-AB106BFE8304}"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D-863C-4E88-BCA2-B4556889DE37}"/>
                </c:ext>
              </c:extLst>
            </c:dLbl>
            <c:dLbl>
              <c:idx val="13"/>
              <c:layout>
                <c:manualLayout>
                  <c:x val="2.2217329936350966E-2"/>
                  <c:y val="-0.16279936648781063"/>
                </c:manualLayout>
              </c:layout>
              <c:tx>
                <c:rich>
                  <a:bodyPr/>
                  <a:lstStyle/>
                  <a:p>
                    <a:fld id="{7426FBAA-EF74-46B7-9B9D-D4E9ECCCAD4D}"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E-863C-4E88-BCA2-B4556889DE37}"/>
                </c:ext>
              </c:extLst>
            </c:dLbl>
            <c:dLbl>
              <c:idx val="14"/>
              <c:layout>
                <c:manualLayout>
                  <c:x val="0.14742014742014731"/>
                  <c:y val="-0.23078782592309405"/>
                </c:manualLayout>
              </c:layout>
              <c:tx>
                <c:rich>
                  <a:bodyPr/>
                  <a:lstStyle/>
                  <a:p>
                    <a:fld id="{733AEF71-1C9C-48A2-B1AF-DED0B840C473}"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F-863C-4E88-BCA2-B4556889DE37}"/>
                </c:ext>
              </c:extLst>
            </c:dLbl>
            <c:dLbl>
              <c:idx val="15"/>
              <c:layout>
                <c:manualLayout>
                  <c:x val="3.276003276003276E-2"/>
                  <c:y val="-6.2060591844865627E-2"/>
                </c:manualLayout>
              </c:layout>
              <c:tx>
                <c:rich>
                  <a:bodyPr/>
                  <a:lstStyle/>
                  <a:p>
                    <a:fld id="{3762688D-7C2B-449B-B802-6856764BD39E}"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0-863C-4E88-BCA2-B4556889DE37}"/>
                </c:ext>
              </c:extLst>
            </c:dLbl>
            <c:dLbl>
              <c:idx val="16"/>
              <c:layout>
                <c:manualLayout>
                  <c:x val="5.2416052416052419E-2"/>
                  <c:y val="-0.10666664223336286"/>
                </c:manualLayout>
              </c:layout>
              <c:tx>
                <c:rich>
                  <a:bodyPr/>
                  <a:lstStyle/>
                  <a:p>
                    <a:fld id="{9D8AC171-3322-40B4-B5F9-432F57DC9D38}"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1-863C-4E88-BCA2-B4556889DE37}"/>
                </c:ext>
              </c:extLst>
            </c:dLbl>
            <c:dLbl>
              <c:idx val="17"/>
              <c:tx>
                <c:rich>
                  <a:bodyPr/>
                  <a:lstStyle/>
                  <a:p>
                    <a:fld id="{5E6F3812-5579-4535-9587-0A07F8C50368}"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863C-4E88-BCA2-B4556889DE37}"/>
                </c:ext>
              </c:extLst>
            </c:dLbl>
            <c:dLbl>
              <c:idx val="18"/>
              <c:layout>
                <c:manualLayout>
                  <c:x val="2.2932022932022813E-2"/>
                  <c:y val="-3.8787869903041089E-2"/>
                </c:manualLayout>
              </c:layout>
              <c:tx>
                <c:rich>
                  <a:bodyPr/>
                  <a:lstStyle/>
                  <a:p>
                    <a:fld id="{C4675B0C-509E-409D-BCD1-4C91B0EE7580}"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3-863C-4E88-BCA2-B4556889DE37}"/>
                </c:ext>
              </c:extLst>
            </c:dLbl>
            <c:dLbl>
              <c:idx val="19"/>
              <c:layout>
                <c:manualLayout>
                  <c:x val="8.1900081900080704E-3"/>
                  <c:y val="-6.9818165825473899E-2"/>
                </c:manualLayout>
              </c:layout>
              <c:tx>
                <c:rich>
                  <a:bodyPr/>
                  <a:lstStyle/>
                  <a:p>
                    <a:fld id="{7EB90A92-DE18-4E87-B9F0-B1809B5C5054}"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4-863C-4E88-BCA2-B4556889DE37}"/>
                </c:ext>
              </c:extLst>
            </c:dLbl>
            <c:dLbl>
              <c:idx val="20"/>
              <c:layout>
                <c:manualLayout>
                  <c:x val="9.8280098280097081E-3"/>
                  <c:y val="-0.19781813650550925"/>
                </c:manualLayout>
              </c:layout>
              <c:tx>
                <c:rich>
                  <a:bodyPr/>
                  <a:lstStyle/>
                  <a:p>
                    <a:fld id="{7A5501CB-9916-4558-AE29-CE5306D2D2EC}"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5-863C-4E88-BCA2-B4556889DE37}"/>
                </c:ext>
              </c:extLst>
            </c:dLbl>
            <c:dLbl>
              <c:idx val="21"/>
              <c:layout>
                <c:manualLayout>
                  <c:x val="-1.6380016380016381E-3"/>
                  <c:y val="-0.2579393348552228"/>
                </c:manualLayout>
              </c:layout>
              <c:tx>
                <c:rich>
                  <a:bodyPr/>
                  <a:lstStyle/>
                  <a:p>
                    <a:fld id="{777BEE63-929A-47CD-8AFB-7141EC3009F7}"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6-863C-4E88-BCA2-B4556889DE3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strRef>
              <c:f>'13_week_graph'!$D$5:$D$26</c:f>
              <c:strCache>
                <c:ptCount val="22"/>
                <c:pt idx="0">
                  <c:v>P853275_ZH-221D_ILIAS</c:v>
                </c:pt>
                <c:pt idx="1">
                  <c:v>P860660_RU-1B22_RH</c:v>
                </c:pt>
                <c:pt idx="2">
                  <c:v>P872439_KU-5113_METRO</c:v>
                </c:pt>
                <c:pt idx="3">
                  <c:v>P860104_KN-0605_METRO</c:v>
                </c:pt>
                <c:pt idx="4">
                  <c:v>P863919_UL-90EA_ILL</c:v>
                </c:pt>
                <c:pt idx="5">
                  <c:v>P820514_PX-B6FC_LASER</c:v>
                </c:pt>
                <c:pt idx="6">
                  <c:v>P829173_LAB-002D_SW Laser</c:v>
                </c:pt>
                <c:pt idx="7">
                  <c:v>P867917_CN-0001_ILL</c:v>
                </c:pt>
                <c:pt idx="8">
                  <c:v>P885590_CG-A309_SD</c:v>
                </c:pt>
                <c:pt idx="9">
                  <c:v>#N/A</c:v>
                </c:pt>
                <c:pt idx="10">
                  <c:v>P885598_PL-7005_SRC</c:v>
                </c:pt>
                <c:pt idx="11">
                  <c:v>P656698_WE-0C04_WH</c:v>
                </c:pt>
                <c:pt idx="12">
                  <c:v>P834708_WX-2508_WH</c:v>
                </c:pt>
                <c:pt idx="13">
                  <c:v>P841602_WH-252E_WH</c:v>
                </c:pt>
                <c:pt idx="14">
                  <c:v>P844973_IS-1367_TIS</c:v>
                </c:pt>
                <c:pt idx="15">
                  <c:v>P856296_DD-0000_DC</c:v>
                </c:pt>
                <c:pt idx="16">
                  <c:v>P870861_PG-7406_REMA</c:v>
                </c:pt>
                <c:pt idx="17">
                  <c:v>P871028_WXP-021 _SRC</c:v>
                </c:pt>
                <c:pt idx="18">
                  <c:v>P872290_WP-2C1D_WS</c:v>
                </c:pt>
                <c:pt idx="19">
                  <c:v>P873253_RU-2B1D_RS</c:v>
                </c:pt>
                <c:pt idx="20">
                  <c:v>P877184_LZ-2004_UVLS</c:v>
                </c:pt>
                <c:pt idx="21">
                  <c:v>P885744_LSH-00AC_SRC</c:v>
                </c:pt>
              </c:strCache>
            </c:strRef>
          </c:cat>
          <c:val>
            <c:numRef>
              <c:f>'13_week_graph'!$E$5:$E$26</c:f>
              <c:numCache>
                <c:formatCode>General</c:formatCode>
                <c:ptCount val="22"/>
                <c:pt idx="0">
                  <c:v>4</c:v>
                </c:pt>
                <c:pt idx="1">
                  <c:v>4</c:v>
                </c:pt>
                <c:pt idx="2">
                  <c:v>4</c:v>
                </c:pt>
                <c:pt idx="3">
                  <c:v>3</c:v>
                </c:pt>
                <c:pt idx="4">
                  <c:v>3</c:v>
                </c:pt>
                <c:pt idx="5">
                  <c:v>2</c:v>
                </c:pt>
                <c:pt idx="6">
                  <c:v>2</c:v>
                </c:pt>
                <c:pt idx="7">
                  <c:v>2</c:v>
                </c:pt>
                <c:pt idx="8">
                  <c:v>2</c:v>
                </c:pt>
                <c:pt idx="9">
                  <c:v>1</c:v>
                </c:pt>
                <c:pt idx="10">
                  <c:v>1</c:v>
                </c:pt>
                <c:pt idx="11">
                  <c:v>1</c:v>
                </c:pt>
                <c:pt idx="12">
                  <c:v>1</c:v>
                </c:pt>
                <c:pt idx="13">
                  <c:v>1</c:v>
                </c:pt>
                <c:pt idx="14">
                  <c:v>1</c:v>
                </c:pt>
                <c:pt idx="15">
                  <c:v>1</c:v>
                </c:pt>
                <c:pt idx="16">
                  <c:v>1</c:v>
                </c:pt>
                <c:pt idx="17">
                  <c:v>1</c:v>
                </c:pt>
                <c:pt idx="18">
                  <c:v>1</c:v>
                </c:pt>
                <c:pt idx="19">
                  <c:v>1</c:v>
                </c:pt>
                <c:pt idx="20">
                  <c:v>1</c:v>
                </c:pt>
                <c:pt idx="21">
                  <c:v>1</c:v>
                </c:pt>
              </c:numCache>
            </c:numRef>
          </c:val>
          <c:extLst>
            <c:ext xmlns:c15="http://schemas.microsoft.com/office/drawing/2012/chart" uri="{02D57815-91ED-43cb-92C2-25804820EDAC}">
              <c15:datalabelsRange>
                <c15:f>'13_week_graph'!$G$5:$G$26</c15:f>
                <c15:dlblRangeCache>
                  <c:ptCount val="22"/>
                  <c:pt idx="0">
                    <c:v>Contained by COB with new FW swap, no hits since then. More containments via SP24. Monitoring </c:v>
                  </c:pt>
                  <c:pt idx="1">
                    <c:v>patch on SP22, monitoring.</c:v>
                  </c:pt>
                  <c:pt idx="2">
                    <c:v>Solution in SP23 + patch on SP22</c:v>
                  </c:pt>
                  <c:pt idx="3">
                    <c:v>Solution in SP22</c:v>
                  </c:pt>
                  <c:pt idx="4">
                    <c:v>MM1 flow lowered as containment, solution in progress</c:v>
                  </c:pt>
                  <c:pt idx="5">
                    <c:v>PCS available,
 solution SP23</c:v>
                  </c:pt>
                  <c:pt idx="6">
                    <c:v>MC53 FW issue, new FW tested OK. FCO released</c:v>
                  </c:pt>
                  <c:pt idx="7">
                    <c:v>Solution SP23</c:v>
                  </c:pt>
                  <c:pt idx="8">
                    <c:v>Observed twice entire EXE fleet, will collect logging to continue RCA if occurs again</c:v>
                  </c:pt>
                  <c:pt idx="9">
                    <c:v>SPCP swap</c:v>
                  </c:pt>
                  <c:pt idx="10">
                    <c:v>FDQ 4 channel
 module failure</c:v>
                  </c:pt>
                  <c:pt idx="11">
                    <c:v>BGDS swap </c:v>
                  </c:pt>
                  <c:pt idx="12">
                    <c:v>Solution SP22</c:v>
                  </c:pt>
                  <c:pt idx="13">
                    <c:v>Containment in place, RCA ongoing</c:v>
                  </c:pt>
                  <c:pt idx="14">
                    <c:v>Solution SP24</c:v>
                  </c:pt>
                  <c:pt idx="15">
                    <c:v>Solution SP22</c:v>
                  </c:pt>
                  <c:pt idx="16">
                    <c:v>Solution in SP23 + patch on SP22</c:v>
                  </c:pt>
                  <c:pt idx="17">
                    <c:v>PCW Sensor swap</c:v>
                  </c:pt>
                  <c:pt idx="18">
                    <c:v>HIPA swap</c:v>
                  </c:pt>
                  <c:pt idx="19">
                    <c:v>Containment in place, RCA ongoing</c:v>
                  </c:pt>
                  <c:pt idx="20">
                    <c:v>One off</c:v>
                  </c:pt>
                  <c:pt idx="21">
                    <c:v>Ethercat module swap</c:v>
                  </c:pt>
                </c15:dlblRangeCache>
              </c15:datalabelsRange>
            </c:ext>
            <c:ext xmlns:c16="http://schemas.microsoft.com/office/drawing/2014/chart" uri="{C3380CC4-5D6E-409C-BE32-E72D297353CC}">
              <c16:uniqueId val="{00000000-863C-4E88-BCA2-B4556889DE37}"/>
            </c:ext>
          </c:extLst>
        </c:ser>
        <c:dLbls>
          <c:showLegendKey val="0"/>
          <c:showVal val="0"/>
          <c:showCatName val="0"/>
          <c:showSerName val="0"/>
          <c:showPercent val="0"/>
          <c:showBubbleSize val="0"/>
        </c:dLbls>
        <c:gapWidth val="219"/>
        <c:overlap val="-27"/>
        <c:axId val="310780799"/>
        <c:axId val="310782959"/>
      </c:barChart>
      <c:catAx>
        <c:axId val="3107807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10782959"/>
        <c:crosses val="autoZero"/>
        <c:auto val="1"/>
        <c:lblAlgn val="ctr"/>
        <c:lblOffset val="100"/>
        <c:noMultiLvlLbl val="0"/>
      </c:catAx>
      <c:valAx>
        <c:axId val="310782959"/>
        <c:scaling>
          <c:orientation val="minMax"/>
          <c:max val="5"/>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10780799"/>
        <c:crosses val="autoZero"/>
        <c:crossBetween val="between"/>
        <c:majorUnit val="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'MTBF(u+p)'!$G$1</c:f>
          <c:strCache>
            <c:ptCount val="1"/>
            <c:pt idx="0">
              <c:v>Intel vs RoW</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5.4632406442889567E-2"/>
          <c:y val="0.10800305604474141"/>
          <c:w val="0.8953252830803724"/>
          <c:h val="0.62181070492308388"/>
        </c:manualLayout>
      </c:layout>
      <c:barChart>
        <c:barDir val="col"/>
        <c:grouping val="stacked"/>
        <c:varyColors val="0"/>
        <c:ser>
          <c:idx val="0"/>
          <c:order val="0"/>
          <c:tx>
            <c:strRef>
              <c:f>'MTBF(u+p)'!$J$5</c:f>
              <c:strCache>
                <c:ptCount val="1"/>
                <c:pt idx="0">
                  <c:v>Intel</c:v>
                </c:pt>
              </c:strCache>
            </c:strRef>
          </c:tx>
          <c:spPr>
            <a:solidFill>
              <a:schemeClr val="accent1"/>
            </a:solidFill>
            <a:ln>
              <a:noFill/>
            </a:ln>
            <a:effectLst/>
          </c:spPr>
          <c:invertIfNegative val="0"/>
          <c:cat>
            <c:strRef>
              <c:f>'MTBF(u+p)'!$B$7:$B$89</c:f>
              <c:strCache>
                <c:ptCount val="44"/>
                <c:pt idx="0">
                  <c:v>not found</c:v>
                </c:pt>
                <c:pt idx="1">
                  <c:v>not found</c:v>
                </c:pt>
                <c:pt idx="2">
                  <c:v>not found</c:v>
                </c:pt>
                <c:pt idx="3">
                  <c:v>not found</c:v>
                </c:pt>
                <c:pt idx="4">
                  <c:v>not found</c:v>
                </c:pt>
                <c:pt idx="5">
                  <c:v>not found</c:v>
                </c:pt>
                <c:pt idx="6">
                  <c:v>not found</c:v>
                </c:pt>
                <c:pt idx="7">
                  <c:v>not found</c:v>
                </c:pt>
                <c:pt idx="8">
                  <c:v>not found</c:v>
                </c:pt>
                <c:pt idx="9">
                  <c:v>not found</c:v>
                </c:pt>
                <c:pt idx="10">
                  <c:v>not found</c:v>
                </c:pt>
                <c:pt idx="11">
                  <c:v>not found</c:v>
                </c:pt>
                <c:pt idx="12">
                  <c:v>not found</c:v>
                </c:pt>
                <c:pt idx="13">
                  <c:v>not found</c:v>
                </c:pt>
                <c:pt idx="14">
                  <c:v>WH-252E</c:v>
                </c:pt>
                <c:pt idx="15">
                  <c:v>not found</c:v>
                </c:pt>
                <c:pt idx="16">
                  <c:v>not found</c:v>
                </c:pt>
                <c:pt idx="17">
                  <c:v>not found</c:v>
                </c:pt>
                <c:pt idx="18">
                  <c:v>not found</c:v>
                </c:pt>
                <c:pt idx="19">
                  <c:v>not found</c:v>
                </c:pt>
                <c:pt idx="20">
                  <c:v>not found</c:v>
                </c:pt>
                <c:pt idx="21">
                  <c:v>not found</c:v>
                </c:pt>
                <c:pt idx="22">
                  <c:v>not found</c:v>
                </c:pt>
                <c:pt idx="23">
                  <c:v>not found</c:v>
                </c:pt>
                <c:pt idx="24">
                  <c:v>not found</c:v>
                </c:pt>
                <c:pt idx="25">
                  <c:v>not found</c:v>
                </c:pt>
                <c:pt idx="26">
                  <c:v>not found</c:v>
                </c:pt>
                <c:pt idx="27">
                  <c:v>not found</c:v>
                </c:pt>
                <c:pt idx="28">
                  <c:v>not found</c:v>
                </c:pt>
                <c:pt idx="29">
                  <c:v>not found</c:v>
                </c:pt>
                <c:pt idx="30">
                  <c:v>not found</c:v>
                </c:pt>
                <c:pt idx="31">
                  <c:v>not found</c:v>
                </c:pt>
                <c:pt idx="32">
                  <c:v>not found</c:v>
                </c:pt>
                <c:pt idx="33">
                  <c:v>not found</c:v>
                </c:pt>
                <c:pt idx="34">
                  <c:v>not found</c:v>
                </c:pt>
                <c:pt idx="35">
                  <c:v>not found</c:v>
                </c:pt>
                <c:pt idx="36">
                  <c:v>not found</c:v>
                </c:pt>
                <c:pt idx="37">
                  <c:v>not found</c:v>
                </c:pt>
                <c:pt idx="38">
                  <c:v>not found</c:v>
                </c:pt>
                <c:pt idx="39">
                  <c:v>not found</c:v>
                </c:pt>
                <c:pt idx="40">
                  <c:v>not found</c:v>
                </c:pt>
                <c:pt idx="41">
                  <c:v>not found</c:v>
                </c:pt>
                <c:pt idx="42">
                  <c:v>not found</c:v>
                </c:pt>
                <c:pt idx="43">
                  <c:v>not found</c:v>
                </c:pt>
              </c:strCache>
            </c:strRef>
          </c:cat>
          <c:val>
            <c:numRef>
              <c:f>'MTBF(u+p)'!$J$7:$J$89</c:f>
              <c:numCache>
                <c:formatCode>General</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extLst>
            <c:ext xmlns:c16="http://schemas.microsoft.com/office/drawing/2014/chart" uri="{C3380CC4-5D6E-409C-BE32-E72D297353CC}">
              <c16:uniqueId val="{00000000-5295-4402-B997-06BE8B7A22AD}"/>
            </c:ext>
          </c:extLst>
        </c:ser>
        <c:ser>
          <c:idx val="1"/>
          <c:order val="1"/>
          <c:tx>
            <c:strRef>
              <c:f>'MTBF(u+p)'!$M$6</c:f>
              <c:strCache>
                <c:ptCount val="1"/>
                <c:pt idx="0">
                  <c:v>RoW</c:v>
                </c:pt>
              </c:strCache>
            </c:strRef>
          </c:tx>
          <c:spPr>
            <a:solidFill>
              <a:schemeClr val="accent2"/>
            </a:solidFill>
            <a:ln>
              <a:noFill/>
            </a:ln>
            <a:effectLst/>
          </c:spPr>
          <c:invertIfNegative val="0"/>
          <c:cat>
            <c:strRef>
              <c:f>'MTBF(u+p)'!$B$7:$B$89</c:f>
              <c:strCache>
                <c:ptCount val="44"/>
                <c:pt idx="0">
                  <c:v>not found</c:v>
                </c:pt>
                <c:pt idx="1">
                  <c:v>not found</c:v>
                </c:pt>
                <c:pt idx="2">
                  <c:v>not found</c:v>
                </c:pt>
                <c:pt idx="3">
                  <c:v>not found</c:v>
                </c:pt>
                <c:pt idx="4">
                  <c:v>not found</c:v>
                </c:pt>
                <c:pt idx="5">
                  <c:v>not found</c:v>
                </c:pt>
                <c:pt idx="6">
                  <c:v>not found</c:v>
                </c:pt>
                <c:pt idx="7">
                  <c:v>not found</c:v>
                </c:pt>
                <c:pt idx="8">
                  <c:v>not found</c:v>
                </c:pt>
                <c:pt idx="9">
                  <c:v>not found</c:v>
                </c:pt>
                <c:pt idx="10">
                  <c:v>not found</c:v>
                </c:pt>
                <c:pt idx="11">
                  <c:v>not found</c:v>
                </c:pt>
                <c:pt idx="12">
                  <c:v>not found</c:v>
                </c:pt>
                <c:pt idx="13">
                  <c:v>not found</c:v>
                </c:pt>
                <c:pt idx="14">
                  <c:v>WH-252E</c:v>
                </c:pt>
                <c:pt idx="15">
                  <c:v>not found</c:v>
                </c:pt>
                <c:pt idx="16">
                  <c:v>not found</c:v>
                </c:pt>
                <c:pt idx="17">
                  <c:v>not found</c:v>
                </c:pt>
                <c:pt idx="18">
                  <c:v>not found</c:v>
                </c:pt>
                <c:pt idx="19">
                  <c:v>not found</c:v>
                </c:pt>
                <c:pt idx="20">
                  <c:v>not found</c:v>
                </c:pt>
                <c:pt idx="21">
                  <c:v>not found</c:v>
                </c:pt>
                <c:pt idx="22">
                  <c:v>not found</c:v>
                </c:pt>
                <c:pt idx="23">
                  <c:v>not found</c:v>
                </c:pt>
                <c:pt idx="24">
                  <c:v>not found</c:v>
                </c:pt>
                <c:pt idx="25">
                  <c:v>not found</c:v>
                </c:pt>
                <c:pt idx="26">
                  <c:v>not found</c:v>
                </c:pt>
                <c:pt idx="27">
                  <c:v>not found</c:v>
                </c:pt>
                <c:pt idx="28">
                  <c:v>not found</c:v>
                </c:pt>
                <c:pt idx="29">
                  <c:v>not found</c:v>
                </c:pt>
                <c:pt idx="30">
                  <c:v>not found</c:v>
                </c:pt>
                <c:pt idx="31">
                  <c:v>not found</c:v>
                </c:pt>
                <c:pt idx="32">
                  <c:v>not found</c:v>
                </c:pt>
                <c:pt idx="33">
                  <c:v>not found</c:v>
                </c:pt>
                <c:pt idx="34">
                  <c:v>not found</c:v>
                </c:pt>
                <c:pt idx="35">
                  <c:v>not found</c:v>
                </c:pt>
                <c:pt idx="36">
                  <c:v>not found</c:v>
                </c:pt>
                <c:pt idx="37">
                  <c:v>not found</c:v>
                </c:pt>
                <c:pt idx="38">
                  <c:v>not found</c:v>
                </c:pt>
                <c:pt idx="39">
                  <c:v>not found</c:v>
                </c:pt>
                <c:pt idx="40">
                  <c:v>not found</c:v>
                </c:pt>
                <c:pt idx="41">
                  <c:v>not found</c:v>
                </c:pt>
                <c:pt idx="42">
                  <c:v>not found</c:v>
                </c:pt>
                <c:pt idx="43">
                  <c:v>not found</c:v>
                </c:pt>
              </c:strCache>
            </c:strRef>
          </c:cat>
          <c:val>
            <c:numRef>
              <c:f>'MTBF(u+p)'!$M$7:$M$89</c:f>
              <c:numCache>
                <c:formatCode>General</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extLst>
            <c:ext xmlns:c16="http://schemas.microsoft.com/office/drawing/2014/chart" uri="{C3380CC4-5D6E-409C-BE32-E72D297353CC}">
              <c16:uniqueId val="{00000001-5295-4402-B997-06BE8B7A22AD}"/>
            </c:ext>
          </c:extLst>
        </c:ser>
        <c:dLbls>
          <c:showLegendKey val="0"/>
          <c:showVal val="0"/>
          <c:showCatName val="0"/>
          <c:showSerName val="0"/>
          <c:showPercent val="0"/>
          <c:showBubbleSize val="0"/>
        </c:dLbls>
        <c:gapWidth val="50"/>
        <c:overlap val="100"/>
        <c:axId val="1339045520"/>
        <c:axId val="1339049120"/>
      </c:barChart>
      <c:scatterChart>
        <c:scatterStyle val="lineMarker"/>
        <c:varyColors val="0"/>
        <c:ser>
          <c:idx val="2"/>
          <c:order val="2"/>
          <c:tx>
            <c:strRef>
              <c:f>'MTBF(u+p)'!$E$6</c:f>
              <c:strCache>
                <c:ptCount val="1"/>
                <c:pt idx="0">
                  <c:v>Downtime open</c:v>
                </c:pt>
              </c:strCache>
            </c:strRef>
          </c:tx>
          <c:spPr>
            <a:ln w="25400" cap="rnd">
              <a:noFill/>
              <a:round/>
            </a:ln>
            <a:effectLst/>
          </c:spPr>
          <c:marker>
            <c:symbol val="circle"/>
            <c:size val="7"/>
            <c:spPr>
              <a:solidFill>
                <a:srgbClr val="FF0000"/>
              </a:solidFill>
              <a:ln w="9525">
                <a:noFill/>
              </a:ln>
              <a:effectLst/>
            </c:spPr>
          </c:marker>
          <c:yVal>
            <c:numRef>
              <c:f>'MTBF(u+p)'!$E$7:$E$89</c:f>
              <c:numCache>
                <c:formatCode>General</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yVal>
          <c:smooth val="0"/>
          <c:extLst>
            <c:ext xmlns:c16="http://schemas.microsoft.com/office/drawing/2014/chart" uri="{C3380CC4-5D6E-409C-BE32-E72D297353CC}">
              <c16:uniqueId val="{00000002-5295-4402-B997-06BE8B7A22AD}"/>
            </c:ext>
          </c:extLst>
        </c:ser>
        <c:ser>
          <c:idx val="3"/>
          <c:order val="3"/>
          <c:tx>
            <c:strRef>
              <c:f>'MTBF(u+p)'!$F$6</c:f>
              <c:strCache>
                <c:ptCount val="1"/>
                <c:pt idx="0">
                  <c:v>Downtime solved</c:v>
                </c:pt>
              </c:strCache>
            </c:strRef>
          </c:tx>
          <c:spPr>
            <a:ln w="25400" cap="rnd">
              <a:noFill/>
              <a:round/>
            </a:ln>
            <a:effectLst/>
          </c:spPr>
          <c:marker>
            <c:symbol val="circle"/>
            <c:size val="7"/>
            <c:spPr>
              <a:solidFill>
                <a:schemeClr val="accent6"/>
              </a:solidFill>
              <a:ln w="9525">
                <a:noFill/>
              </a:ln>
              <a:effectLst/>
            </c:spPr>
          </c:marker>
          <c:yVal>
            <c:numRef>
              <c:f>'MTBF(u+p)'!$F$7:$F$89</c:f>
              <c:numCache>
                <c:formatCode>General</c:formatCode>
                <c:ptCount val="4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numCache>
            </c:numRef>
          </c:yVal>
          <c:smooth val="0"/>
          <c:extLst>
            <c:ext xmlns:c16="http://schemas.microsoft.com/office/drawing/2014/chart" uri="{C3380CC4-5D6E-409C-BE32-E72D297353CC}">
              <c16:uniqueId val="{00000000-738F-49EE-A51C-5A3FB67082E1}"/>
            </c:ext>
          </c:extLst>
        </c:ser>
        <c:ser>
          <c:idx val="4"/>
          <c:order val="4"/>
          <c:tx>
            <c:strRef>
              <c:f>'MTBF(u+p)'!$G$6</c:f>
              <c:strCache>
                <c:ptCount val="1"/>
                <c:pt idx="0">
                  <c:v>Downtime planned</c:v>
                </c:pt>
              </c:strCache>
            </c:strRef>
          </c:tx>
          <c:spPr>
            <a:ln w="25400" cap="rnd">
              <a:noFill/>
              <a:round/>
            </a:ln>
            <a:effectLst/>
          </c:spPr>
          <c:marker>
            <c:symbol val="circle"/>
            <c:size val="7"/>
            <c:spPr>
              <a:solidFill>
                <a:schemeClr val="accent3">
                  <a:lumMod val="75000"/>
                </a:schemeClr>
              </a:solidFill>
              <a:ln w="9525">
                <a:noFill/>
              </a:ln>
              <a:effectLst/>
            </c:spPr>
          </c:marker>
          <c:yVal>
            <c:numRef>
              <c:f>'MTBF(u+p)'!$G$7:$G$89</c:f>
              <c:numCache>
                <c:formatCode>General</c:formatCode>
                <c:ptCount val="4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numCache>
            </c:numRef>
          </c:yVal>
          <c:smooth val="0"/>
          <c:extLst>
            <c:ext xmlns:c16="http://schemas.microsoft.com/office/drawing/2014/chart" uri="{C3380CC4-5D6E-409C-BE32-E72D297353CC}">
              <c16:uniqueId val="{00000000-C4A4-4C35-B64B-FFB57F70BD16}"/>
            </c:ext>
          </c:extLst>
        </c:ser>
        <c:dLbls>
          <c:showLegendKey val="0"/>
          <c:showVal val="0"/>
          <c:showCatName val="0"/>
          <c:showSerName val="0"/>
          <c:showPercent val="0"/>
          <c:showBubbleSize val="0"/>
        </c:dLbls>
        <c:axId val="742301104"/>
        <c:axId val="746713872"/>
      </c:scatterChart>
      <c:catAx>
        <c:axId val="13390455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39049120"/>
        <c:crosses val="autoZero"/>
        <c:auto val="1"/>
        <c:lblAlgn val="ctr"/>
        <c:lblOffset val="100"/>
        <c:noMultiLvlLbl val="0"/>
      </c:catAx>
      <c:valAx>
        <c:axId val="1339049120"/>
        <c:scaling>
          <c:orientation val="minMax"/>
          <c:max val="24"/>
          <c:min val="0"/>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 hits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39045520"/>
        <c:crosses val="autoZero"/>
        <c:crossBetween val="between"/>
        <c:majorUnit val="6"/>
        <c:minorUnit val="3"/>
      </c:valAx>
      <c:valAx>
        <c:axId val="746713872"/>
        <c:scaling>
          <c:orientation val="minMax"/>
          <c:max val="34"/>
          <c:min val="0"/>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Downtime [hrs]</a:t>
                </a:r>
              </a:p>
            </c:rich>
          </c:tx>
          <c:layout>
            <c:manualLayout>
              <c:xMode val="edge"/>
              <c:yMode val="edge"/>
              <c:x val="0.96983485583832962"/>
              <c:y val="0.32745672340020066"/>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nextTo"/>
        <c:spPr>
          <a:noFill/>
          <a:ln>
            <a:noFill/>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42301104"/>
        <c:crosses val="max"/>
        <c:crossBetween val="midCat"/>
        <c:majorUnit val="8"/>
      </c:valAx>
      <c:valAx>
        <c:axId val="742301104"/>
        <c:scaling>
          <c:orientation val="minMax"/>
        </c:scaling>
        <c:delete val="1"/>
        <c:axPos val="b"/>
        <c:majorTickMark val="out"/>
        <c:minorTickMark val="none"/>
        <c:tickLblPos val="nextTo"/>
        <c:crossAx val="746713872"/>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4632406442889567E-2"/>
          <c:y val="4.282239099141958E-2"/>
          <c:w val="0.90697221226467573"/>
          <c:h val="0.72892356903844391"/>
        </c:manualLayout>
      </c:layout>
      <c:barChart>
        <c:barDir val="col"/>
        <c:grouping val="stacked"/>
        <c:varyColors val="0"/>
        <c:ser>
          <c:idx val="1"/>
          <c:order val="0"/>
          <c:tx>
            <c:strRef>
              <c:f>'MTBF(u+p)'!$K$5</c:f>
              <c:strCache>
                <c:ptCount val="1"/>
                <c:pt idx="0">
                  <c:v>tsmc</c:v>
                </c:pt>
              </c:strCache>
            </c:strRef>
          </c:tx>
          <c:spPr>
            <a:solidFill>
              <a:schemeClr val="accent2"/>
            </a:solidFill>
            <a:ln>
              <a:noFill/>
            </a:ln>
            <a:effectLst/>
          </c:spPr>
          <c:invertIfNegative val="0"/>
          <c:cat>
            <c:strRef>
              <c:f>'MTBF(u+p)'!$B$7:$B$89</c:f>
              <c:strCache>
                <c:ptCount val="44"/>
                <c:pt idx="0">
                  <c:v>not found</c:v>
                </c:pt>
                <c:pt idx="1">
                  <c:v>not found</c:v>
                </c:pt>
                <c:pt idx="2">
                  <c:v>not found</c:v>
                </c:pt>
                <c:pt idx="3">
                  <c:v>not found</c:v>
                </c:pt>
                <c:pt idx="4">
                  <c:v>not found</c:v>
                </c:pt>
                <c:pt idx="5">
                  <c:v>not found</c:v>
                </c:pt>
                <c:pt idx="6">
                  <c:v>not found</c:v>
                </c:pt>
                <c:pt idx="7">
                  <c:v>not found</c:v>
                </c:pt>
                <c:pt idx="8">
                  <c:v>not found</c:v>
                </c:pt>
                <c:pt idx="9">
                  <c:v>not found</c:v>
                </c:pt>
                <c:pt idx="10">
                  <c:v>not found</c:v>
                </c:pt>
                <c:pt idx="11">
                  <c:v>not found</c:v>
                </c:pt>
                <c:pt idx="12">
                  <c:v>not found</c:v>
                </c:pt>
                <c:pt idx="13">
                  <c:v>not found</c:v>
                </c:pt>
                <c:pt idx="14">
                  <c:v>WH-252E</c:v>
                </c:pt>
                <c:pt idx="15">
                  <c:v>not found</c:v>
                </c:pt>
                <c:pt idx="16">
                  <c:v>not found</c:v>
                </c:pt>
                <c:pt idx="17">
                  <c:v>not found</c:v>
                </c:pt>
                <c:pt idx="18">
                  <c:v>not found</c:v>
                </c:pt>
                <c:pt idx="19">
                  <c:v>not found</c:v>
                </c:pt>
                <c:pt idx="20">
                  <c:v>not found</c:v>
                </c:pt>
                <c:pt idx="21">
                  <c:v>not found</c:v>
                </c:pt>
                <c:pt idx="22">
                  <c:v>not found</c:v>
                </c:pt>
                <c:pt idx="23">
                  <c:v>not found</c:v>
                </c:pt>
                <c:pt idx="24">
                  <c:v>not found</c:v>
                </c:pt>
                <c:pt idx="25">
                  <c:v>not found</c:v>
                </c:pt>
                <c:pt idx="26">
                  <c:v>not found</c:v>
                </c:pt>
                <c:pt idx="27">
                  <c:v>not found</c:v>
                </c:pt>
                <c:pt idx="28">
                  <c:v>not found</c:v>
                </c:pt>
                <c:pt idx="29">
                  <c:v>not found</c:v>
                </c:pt>
                <c:pt idx="30">
                  <c:v>not found</c:v>
                </c:pt>
                <c:pt idx="31">
                  <c:v>not found</c:v>
                </c:pt>
                <c:pt idx="32">
                  <c:v>not found</c:v>
                </c:pt>
                <c:pt idx="33">
                  <c:v>not found</c:v>
                </c:pt>
                <c:pt idx="34">
                  <c:v>not found</c:v>
                </c:pt>
                <c:pt idx="35">
                  <c:v>not found</c:v>
                </c:pt>
                <c:pt idx="36">
                  <c:v>not found</c:v>
                </c:pt>
                <c:pt idx="37">
                  <c:v>not found</c:v>
                </c:pt>
                <c:pt idx="38">
                  <c:v>not found</c:v>
                </c:pt>
                <c:pt idx="39">
                  <c:v>not found</c:v>
                </c:pt>
                <c:pt idx="40">
                  <c:v>not found</c:v>
                </c:pt>
                <c:pt idx="41">
                  <c:v>not found</c:v>
                </c:pt>
                <c:pt idx="42">
                  <c:v>not found</c:v>
                </c:pt>
                <c:pt idx="43">
                  <c:v>not found</c:v>
                </c:pt>
              </c:strCache>
            </c:strRef>
          </c:cat>
          <c:val>
            <c:numRef>
              <c:f>'MTBF(u+p)'!$K$7:$K$89</c:f>
              <c:numCache>
                <c:formatCode>General</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extLst>
            <c:ext xmlns:c16="http://schemas.microsoft.com/office/drawing/2014/chart" uri="{C3380CC4-5D6E-409C-BE32-E72D297353CC}">
              <c16:uniqueId val="{00000001-5295-4402-B997-06BE8B7A22AD}"/>
            </c:ext>
          </c:extLst>
        </c:ser>
        <c:ser>
          <c:idx val="0"/>
          <c:order val="1"/>
          <c:tx>
            <c:strRef>
              <c:f>'MTBF(u+p)'!$J$5</c:f>
              <c:strCache>
                <c:ptCount val="1"/>
                <c:pt idx="0">
                  <c:v>Intel</c:v>
                </c:pt>
              </c:strCache>
            </c:strRef>
          </c:tx>
          <c:spPr>
            <a:solidFill>
              <a:schemeClr val="accent1"/>
            </a:solidFill>
            <a:ln>
              <a:noFill/>
            </a:ln>
            <a:effectLst/>
          </c:spPr>
          <c:invertIfNegative val="0"/>
          <c:cat>
            <c:strRef>
              <c:f>'MTBF(u+p)'!$B$7:$B$89</c:f>
              <c:strCache>
                <c:ptCount val="44"/>
                <c:pt idx="0">
                  <c:v>not found</c:v>
                </c:pt>
                <c:pt idx="1">
                  <c:v>not found</c:v>
                </c:pt>
                <c:pt idx="2">
                  <c:v>not found</c:v>
                </c:pt>
                <c:pt idx="3">
                  <c:v>not found</c:v>
                </c:pt>
                <c:pt idx="4">
                  <c:v>not found</c:v>
                </c:pt>
                <c:pt idx="5">
                  <c:v>not found</c:v>
                </c:pt>
                <c:pt idx="6">
                  <c:v>not found</c:v>
                </c:pt>
                <c:pt idx="7">
                  <c:v>not found</c:v>
                </c:pt>
                <c:pt idx="8">
                  <c:v>not found</c:v>
                </c:pt>
                <c:pt idx="9">
                  <c:v>not found</c:v>
                </c:pt>
                <c:pt idx="10">
                  <c:v>not found</c:v>
                </c:pt>
                <c:pt idx="11">
                  <c:v>not found</c:v>
                </c:pt>
                <c:pt idx="12">
                  <c:v>not found</c:v>
                </c:pt>
                <c:pt idx="13">
                  <c:v>not found</c:v>
                </c:pt>
                <c:pt idx="14">
                  <c:v>WH-252E</c:v>
                </c:pt>
                <c:pt idx="15">
                  <c:v>not found</c:v>
                </c:pt>
                <c:pt idx="16">
                  <c:v>not found</c:v>
                </c:pt>
                <c:pt idx="17">
                  <c:v>not found</c:v>
                </c:pt>
                <c:pt idx="18">
                  <c:v>not found</c:v>
                </c:pt>
                <c:pt idx="19">
                  <c:v>not found</c:v>
                </c:pt>
                <c:pt idx="20">
                  <c:v>not found</c:v>
                </c:pt>
                <c:pt idx="21">
                  <c:v>not found</c:v>
                </c:pt>
                <c:pt idx="22">
                  <c:v>not found</c:v>
                </c:pt>
                <c:pt idx="23">
                  <c:v>not found</c:v>
                </c:pt>
                <c:pt idx="24">
                  <c:v>not found</c:v>
                </c:pt>
                <c:pt idx="25">
                  <c:v>not found</c:v>
                </c:pt>
                <c:pt idx="26">
                  <c:v>not found</c:v>
                </c:pt>
                <c:pt idx="27">
                  <c:v>not found</c:v>
                </c:pt>
                <c:pt idx="28">
                  <c:v>not found</c:v>
                </c:pt>
                <c:pt idx="29">
                  <c:v>not found</c:v>
                </c:pt>
                <c:pt idx="30">
                  <c:v>not found</c:v>
                </c:pt>
                <c:pt idx="31">
                  <c:v>not found</c:v>
                </c:pt>
                <c:pt idx="32">
                  <c:v>not found</c:v>
                </c:pt>
                <c:pt idx="33">
                  <c:v>not found</c:v>
                </c:pt>
                <c:pt idx="34">
                  <c:v>not found</c:v>
                </c:pt>
                <c:pt idx="35">
                  <c:v>not found</c:v>
                </c:pt>
                <c:pt idx="36">
                  <c:v>not found</c:v>
                </c:pt>
                <c:pt idx="37">
                  <c:v>not found</c:v>
                </c:pt>
                <c:pt idx="38">
                  <c:v>not found</c:v>
                </c:pt>
                <c:pt idx="39">
                  <c:v>not found</c:v>
                </c:pt>
                <c:pt idx="40">
                  <c:v>not found</c:v>
                </c:pt>
                <c:pt idx="41">
                  <c:v>not found</c:v>
                </c:pt>
                <c:pt idx="42">
                  <c:v>not found</c:v>
                </c:pt>
                <c:pt idx="43">
                  <c:v>not found</c:v>
                </c:pt>
              </c:strCache>
            </c:strRef>
          </c:cat>
          <c:val>
            <c:numRef>
              <c:f>'MTBF(u+p)'!$J$7:$J$89</c:f>
              <c:numCache>
                <c:formatCode>General</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extLst>
            <c:ext xmlns:c16="http://schemas.microsoft.com/office/drawing/2014/chart" uri="{C3380CC4-5D6E-409C-BE32-E72D297353CC}">
              <c16:uniqueId val="{00000000-5295-4402-B997-06BE8B7A22AD}"/>
            </c:ext>
          </c:extLst>
        </c:ser>
        <c:ser>
          <c:idx val="4"/>
          <c:order val="2"/>
          <c:tx>
            <c:strRef>
              <c:f>'MTBF(u+p)'!$L$5</c:f>
              <c:strCache>
                <c:ptCount val="1"/>
                <c:pt idx="0">
                  <c:v>SEC</c:v>
                </c:pt>
              </c:strCache>
            </c:strRef>
          </c:tx>
          <c:spPr>
            <a:solidFill>
              <a:schemeClr val="accent5"/>
            </a:solidFill>
            <a:ln>
              <a:noFill/>
            </a:ln>
            <a:effectLst/>
          </c:spPr>
          <c:invertIfNegative val="0"/>
          <c:cat>
            <c:strRef>
              <c:f>'MTBF(u+p)'!$B$7:$B$89</c:f>
              <c:strCache>
                <c:ptCount val="44"/>
                <c:pt idx="0">
                  <c:v>not found</c:v>
                </c:pt>
                <c:pt idx="1">
                  <c:v>not found</c:v>
                </c:pt>
                <c:pt idx="2">
                  <c:v>not found</c:v>
                </c:pt>
                <c:pt idx="3">
                  <c:v>not found</c:v>
                </c:pt>
                <c:pt idx="4">
                  <c:v>not found</c:v>
                </c:pt>
                <c:pt idx="5">
                  <c:v>not found</c:v>
                </c:pt>
                <c:pt idx="6">
                  <c:v>not found</c:v>
                </c:pt>
                <c:pt idx="7">
                  <c:v>not found</c:v>
                </c:pt>
                <c:pt idx="8">
                  <c:v>not found</c:v>
                </c:pt>
                <c:pt idx="9">
                  <c:v>not found</c:v>
                </c:pt>
                <c:pt idx="10">
                  <c:v>not found</c:v>
                </c:pt>
                <c:pt idx="11">
                  <c:v>not found</c:v>
                </c:pt>
                <c:pt idx="12">
                  <c:v>not found</c:v>
                </c:pt>
                <c:pt idx="13">
                  <c:v>not found</c:v>
                </c:pt>
                <c:pt idx="14">
                  <c:v>WH-252E</c:v>
                </c:pt>
                <c:pt idx="15">
                  <c:v>not found</c:v>
                </c:pt>
                <c:pt idx="16">
                  <c:v>not found</c:v>
                </c:pt>
                <c:pt idx="17">
                  <c:v>not found</c:v>
                </c:pt>
                <c:pt idx="18">
                  <c:v>not found</c:v>
                </c:pt>
                <c:pt idx="19">
                  <c:v>not found</c:v>
                </c:pt>
                <c:pt idx="20">
                  <c:v>not found</c:v>
                </c:pt>
                <c:pt idx="21">
                  <c:v>not found</c:v>
                </c:pt>
                <c:pt idx="22">
                  <c:v>not found</c:v>
                </c:pt>
                <c:pt idx="23">
                  <c:v>not found</c:v>
                </c:pt>
                <c:pt idx="24">
                  <c:v>not found</c:v>
                </c:pt>
                <c:pt idx="25">
                  <c:v>not found</c:v>
                </c:pt>
                <c:pt idx="26">
                  <c:v>not found</c:v>
                </c:pt>
                <c:pt idx="27">
                  <c:v>not found</c:v>
                </c:pt>
                <c:pt idx="28">
                  <c:v>not found</c:v>
                </c:pt>
                <c:pt idx="29">
                  <c:v>not found</c:v>
                </c:pt>
                <c:pt idx="30">
                  <c:v>not found</c:v>
                </c:pt>
                <c:pt idx="31">
                  <c:v>not found</c:v>
                </c:pt>
                <c:pt idx="32">
                  <c:v>not found</c:v>
                </c:pt>
                <c:pt idx="33">
                  <c:v>not found</c:v>
                </c:pt>
                <c:pt idx="34">
                  <c:v>not found</c:v>
                </c:pt>
                <c:pt idx="35">
                  <c:v>not found</c:v>
                </c:pt>
                <c:pt idx="36">
                  <c:v>not found</c:v>
                </c:pt>
                <c:pt idx="37">
                  <c:v>not found</c:v>
                </c:pt>
                <c:pt idx="38">
                  <c:v>not found</c:v>
                </c:pt>
                <c:pt idx="39">
                  <c:v>not found</c:v>
                </c:pt>
                <c:pt idx="40">
                  <c:v>not found</c:v>
                </c:pt>
                <c:pt idx="41">
                  <c:v>not found</c:v>
                </c:pt>
                <c:pt idx="42">
                  <c:v>not found</c:v>
                </c:pt>
                <c:pt idx="43">
                  <c:v>not found</c:v>
                </c:pt>
              </c:strCache>
            </c:strRef>
          </c:cat>
          <c:val>
            <c:numRef>
              <c:f>'MTBF(u+p)'!$L$7:$L$89</c:f>
              <c:numCache>
                <c:formatCode>General</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extLst>
            <c:ext xmlns:c16="http://schemas.microsoft.com/office/drawing/2014/chart" uri="{C3380CC4-5D6E-409C-BE32-E72D297353CC}">
              <c16:uniqueId val="{00000001-07B1-44EC-A17E-04EAF06883B4}"/>
            </c:ext>
          </c:extLst>
        </c:ser>
        <c:dLbls>
          <c:showLegendKey val="0"/>
          <c:showVal val="0"/>
          <c:showCatName val="0"/>
          <c:showSerName val="0"/>
          <c:showPercent val="0"/>
          <c:showBubbleSize val="0"/>
        </c:dLbls>
        <c:gapWidth val="50"/>
        <c:overlap val="100"/>
        <c:axId val="1339045520"/>
        <c:axId val="1339049120"/>
      </c:barChart>
      <c:scatterChart>
        <c:scatterStyle val="lineMarker"/>
        <c:varyColors val="0"/>
        <c:ser>
          <c:idx val="2"/>
          <c:order val="3"/>
          <c:tx>
            <c:strRef>
              <c:f>'MTBF(u+p)'!$E$6</c:f>
              <c:strCache>
                <c:ptCount val="1"/>
                <c:pt idx="0">
                  <c:v>Downtime open</c:v>
                </c:pt>
              </c:strCache>
            </c:strRef>
          </c:tx>
          <c:spPr>
            <a:ln w="25400" cap="rnd">
              <a:noFill/>
              <a:round/>
            </a:ln>
            <a:effectLst/>
          </c:spPr>
          <c:marker>
            <c:symbol val="circle"/>
            <c:size val="7"/>
            <c:spPr>
              <a:solidFill>
                <a:srgbClr val="FF0000"/>
              </a:solidFill>
              <a:ln w="9525">
                <a:noFill/>
              </a:ln>
              <a:effectLst/>
            </c:spPr>
          </c:marker>
          <c:yVal>
            <c:numRef>
              <c:f>'MTBF(u+p)'!$E$7:$E$89</c:f>
              <c:numCache>
                <c:formatCode>General</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yVal>
          <c:smooth val="0"/>
          <c:extLst>
            <c:ext xmlns:c16="http://schemas.microsoft.com/office/drawing/2014/chart" uri="{C3380CC4-5D6E-409C-BE32-E72D297353CC}">
              <c16:uniqueId val="{00000002-5295-4402-B997-06BE8B7A22AD}"/>
            </c:ext>
          </c:extLst>
        </c:ser>
        <c:ser>
          <c:idx val="3"/>
          <c:order val="4"/>
          <c:tx>
            <c:strRef>
              <c:f>'MTBF(u+p)'!$F$6</c:f>
              <c:strCache>
                <c:ptCount val="1"/>
                <c:pt idx="0">
                  <c:v>Downtime solved</c:v>
                </c:pt>
              </c:strCache>
            </c:strRef>
          </c:tx>
          <c:spPr>
            <a:ln w="25400" cap="rnd">
              <a:noFill/>
              <a:round/>
            </a:ln>
            <a:effectLst/>
          </c:spPr>
          <c:marker>
            <c:symbol val="circle"/>
            <c:size val="7"/>
            <c:spPr>
              <a:solidFill>
                <a:schemeClr val="accent6"/>
              </a:solidFill>
              <a:ln w="9525">
                <a:noFill/>
              </a:ln>
              <a:effectLst/>
            </c:spPr>
          </c:marker>
          <c:yVal>
            <c:numRef>
              <c:f>'MTBF(u+p)'!$F$7:$F$89</c:f>
              <c:numCache>
                <c:formatCode>General</c:formatCode>
                <c:ptCount val="4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numCache>
            </c:numRef>
          </c:yVal>
          <c:smooth val="0"/>
          <c:extLst>
            <c:ext xmlns:c16="http://schemas.microsoft.com/office/drawing/2014/chart" uri="{C3380CC4-5D6E-409C-BE32-E72D297353CC}">
              <c16:uniqueId val="{00000000-738F-49EE-A51C-5A3FB67082E1}"/>
            </c:ext>
          </c:extLst>
        </c:ser>
        <c:ser>
          <c:idx val="5"/>
          <c:order val="5"/>
          <c:tx>
            <c:strRef>
              <c:f>'MTBF(u+p)'!$G$6</c:f>
              <c:strCache>
                <c:ptCount val="1"/>
                <c:pt idx="0">
                  <c:v>Downtime planned</c:v>
                </c:pt>
              </c:strCache>
            </c:strRef>
          </c:tx>
          <c:spPr>
            <a:ln w="25400" cap="rnd">
              <a:noFill/>
              <a:round/>
            </a:ln>
            <a:effectLst/>
          </c:spPr>
          <c:marker>
            <c:symbol val="circle"/>
            <c:size val="7"/>
            <c:spPr>
              <a:solidFill>
                <a:schemeClr val="accent3"/>
              </a:solidFill>
              <a:ln w="9525">
                <a:noFill/>
              </a:ln>
              <a:effectLst/>
            </c:spPr>
          </c:marker>
          <c:yVal>
            <c:numRef>
              <c:f>'MTBF(u+p)'!$G$7:$G$89</c:f>
              <c:numCache>
                <c:formatCode>General</c:formatCode>
                <c:ptCount val="4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numCache>
            </c:numRef>
          </c:yVal>
          <c:smooth val="0"/>
          <c:extLst>
            <c:ext xmlns:c16="http://schemas.microsoft.com/office/drawing/2014/chart" uri="{C3380CC4-5D6E-409C-BE32-E72D297353CC}">
              <c16:uniqueId val="{00000002-07B1-44EC-A17E-04EAF06883B4}"/>
            </c:ext>
          </c:extLst>
        </c:ser>
        <c:dLbls>
          <c:showLegendKey val="0"/>
          <c:showVal val="0"/>
          <c:showCatName val="0"/>
          <c:showSerName val="0"/>
          <c:showPercent val="0"/>
          <c:showBubbleSize val="0"/>
        </c:dLbls>
        <c:axId val="742301104"/>
        <c:axId val="746713872"/>
      </c:scatterChart>
      <c:catAx>
        <c:axId val="13390455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39049120"/>
        <c:crosses val="autoZero"/>
        <c:auto val="1"/>
        <c:lblAlgn val="ctr"/>
        <c:lblOffset val="100"/>
        <c:noMultiLvlLbl val="0"/>
      </c:catAx>
      <c:valAx>
        <c:axId val="1339049120"/>
        <c:scaling>
          <c:orientation val="minMax"/>
          <c:max val="24"/>
          <c:min val="0"/>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 hits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39045520"/>
        <c:crosses val="autoZero"/>
        <c:crossBetween val="between"/>
        <c:majorUnit val="6"/>
      </c:valAx>
      <c:valAx>
        <c:axId val="746713872"/>
        <c:scaling>
          <c:orientation val="minMax"/>
          <c:max val="32"/>
          <c:min val="0"/>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Downtime [hrs]</a:t>
                </a:r>
              </a:p>
            </c:rich>
          </c:tx>
          <c:layout>
            <c:manualLayout>
              <c:xMode val="edge"/>
              <c:yMode val="edge"/>
              <c:x val="0.97283211164538486"/>
              <c:y val="0.30783756530917999"/>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nextTo"/>
        <c:spPr>
          <a:noFill/>
          <a:ln>
            <a:noFill/>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42301104"/>
        <c:crosses val="max"/>
        <c:crossBetween val="between"/>
        <c:majorUnit val="8"/>
      </c:valAx>
      <c:catAx>
        <c:axId val="742301104"/>
        <c:scaling>
          <c:orientation val="minMax"/>
        </c:scaling>
        <c:delete val="1"/>
        <c:axPos val="b"/>
        <c:majorTickMark val="out"/>
        <c:minorTickMark val="none"/>
        <c:tickLblPos val="nextTo"/>
        <c:crossAx val="746713872"/>
        <c:crosses val="autoZero"/>
        <c:auto val="1"/>
        <c:lblAlgn val="ctr"/>
        <c:lblOffset val="100"/>
        <c:noMultiLvlLbl val="1"/>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[blank.xlsx]Pivot!PivotTable1</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MTBFu+p</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Pivot!$B$15</c:f>
              <c:strCache>
                <c:ptCount val="1"/>
                <c:pt idx="0">
                  <c:v>Count of AIR FC</c:v>
                </c:pt>
              </c:strCache>
            </c:strRef>
          </c:tx>
          <c:spPr>
            <a:solidFill>
              <a:schemeClr val="accent1"/>
            </a:solidFill>
            <a:ln>
              <a:noFill/>
            </a:ln>
            <a:effectLst/>
          </c:spPr>
          <c:invertIfNegative val="0"/>
          <c:cat>
            <c:strRef>
              <c:f>Pivot!$A$16:$A$23</c:f>
              <c:strCache>
                <c:ptCount val="7"/>
                <c:pt idx="0">
                  <c:v>WP-2C1D</c:v>
                </c:pt>
                <c:pt idx="1">
                  <c:v>WH-19F3</c:v>
                </c:pt>
                <c:pt idx="2">
                  <c:v>KI-6206</c:v>
                </c:pt>
                <c:pt idx="3">
                  <c:v>WH-3104</c:v>
                </c:pt>
                <c:pt idx="4">
                  <c:v>RU-028F</c:v>
                </c:pt>
                <c:pt idx="5">
                  <c:v>SN-150B</c:v>
                </c:pt>
                <c:pt idx="6">
                  <c:v>PG-6206</c:v>
                </c:pt>
              </c:strCache>
            </c:strRef>
          </c:cat>
          <c:val>
            <c:numRef>
              <c:f>Pivot!$B$16:$B$23</c:f>
              <c:numCache>
                <c:formatCode>General</c:formatCode>
                <c:ptCount val="7"/>
                <c:pt idx="0">
                  <c:v>1</c:v>
                </c:pt>
                <c:pt idx="1">
                  <c:v>1</c:v>
                </c:pt>
                <c:pt idx="2">
                  <c:v>1</c:v>
                </c:pt>
                <c:pt idx="3">
                  <c:v>1</c:v>
                </c:pt>
                <c:pt idx="4">
                  <c:v>1</c:v>
                </c:pt>
                <c:pt idx="5">
                  <c:v>1</c:v>
                </c:pt>
                <c:pt idx="6">
                  <c:v>1</c:v>
                </c:pt>
              </c:numCache>
            </c:numRef>
          </c:val>
          <c:extLst>
            <c:ext xmlns:c16="http://schemas.microsoft.com/office/drawing/2014/chart" uri="{C3380CC4-5D6E-409C-BE32-E72D297353CC}">
              <c16:uniqueId val="{00000000-2F08-4584-919A-96B5F6BD0858}"/>
            </c:ext>
          </c:extLst>
        </c:ser>
        <c:ser>
          <c:idx val="1"/>
          <c:order val="1"/>
          <c:tx>
            <c:strRef>
              <c:f>Pivot!$C$15</c:f>
              <c:strCache>
                <c:ptCount val="1"/>
                <c:pt idx="0">
                  <c:v>Sum of Duration</c:v>
                </c:pt>
              </c:strCache>
            </c:strRef>
          </c:tx>
          <c:spPr>
            <a:solidFill>
              <a:schemeClr val="accent2"/>
            </a:solidFill>
            <a:ln>
              <a:noFill/>
            </a:ln>
            <a:effectLst/>
          </c:spPr>
          <c:invertIfNegative val="0"/>
          <c:cat>
            <c:strRef>
              <c:f>Pivot!$A$16:$A$23</c:f>
              <c:strCache>
                <c:ptCount val="7"/>
                <c:pt idx="0">
                  <c:v>WP-2C1D</c:v>
                </c:pt>
                <c:pt idx="1">
                  <c:v>WH-19F3</c:v>
                </c:pt>
                <c:pt idx="2">
                  <c:v>KI-6206</c:v>
                </c:pt>
                <c:pt idx="3">
                  <c:v>WH-3104</c:v>
                </c:pt>
                <c:pt idx="4">
                  <c:v>RU-028F</c:v>
                </c:pt>
                <c:pt idx="5">
                  <c:v>SN-150B</c:v>
                </c:pt>
                <c:pt idx="6">
                  <c:v>PG-6206</c:v>
                </c:pt>
              </c:strCache>
            </c:strRef>
          </c:cat>
          <c:val>
            <c:numRef>
              <c:f>Pivot!$C$16:$C$23</c:f>
              <c:numCache>
                <c:formatCode>General</c:formatCode>
                <c:ptCount val="7"/>
                <c:pt idx="0">
                  <c:v>13.75</c:v>
                </c:pt>
                <c:pt idx="1">
                  <c:v>18.260000000000002</c:v>
                </c:pt>
                <c:pt idx="2">
                  <c:v>15.66</c:v>
                </c:pt>
                <c:pt idx="3">
                  <c:v>14.38</c:v>
                </c:pt>
                <c:pt idx="4">
                  <c:v>78.7</c:v>
                </c:pt>
                <c:pt idx="5">
                  <c:v>19.45</c:v>
                </c:pt>
                <c:pt idx="6">
                  <c:v>134</c:v>
                </c:pt>
              </c:numCache>
            </c:numRef>
          </c:val>
          <c:extLst>
            <c:ext xmlns:c16="http://schemas.microsoft.com/office/drawing/2014/chart" uri="{C3380CC4-5D6E-409C-BE32-E72D297353CC}">
              <c16:uniqueId val="{0000000E-553C-49E4-A37F-E5874033B2AB}"/>
            </c:ext>
          </c:extLst>
        </c:ser>
        <c:dLbls>
          <c:showLegendKey val="0"/>
          <c:showVal val="0"/>
          <c:showCatName val="0"/>
          <c:showSerName val="0"/>
          <c:showPercent val="0"/>
          <c:showBubbleSize val="0"/>
        </c:dLbls>
        <c:gapWidth val="219"/>
        <c:overlap val="-27"/>
        <c:axId val="1226131848"/>
        <c:axId val="1226137248"/>
      </c:barChart>
      <c:catAx>
        <c:axId val="12261318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26137248"/>
        <c:crosses val="autoZero"/>
        <c:auto val="1"/>
        <c:lblAlgn val="ctr"/>
        <c:lblOffset val="100"/>
        <c:noMultiLvlLbl val="0"/>
      </c:catAx>
      <c:valAx>
        <c:axId val="122613724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2613184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MTBFu+p</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Pivot!$F$11</c:f>
              <c:strCache>
                <c:ptCount val="1"/>
                <c:pt idx="0">
                  <c:v>Count of System</c:v>
                </c:pt>
              </c:strCache>
            </c:strRef>
          </c:tx>
          <c:spPr>
            <a:solidFill>
              <a:schemeClr val="accent1"/>
            </a:solidFill>
            <a:ln>
              <a:noFill/>
            </a:ln>
            <a:effectLst/>
          </c:spPr>
          <c:invertIfNegative val="0"/>
          <c:cat>
            <c:strRef>
              <c:f>Pivot!$E$12:$E$20</c:f>
              <c:strCache>
                <c:ptCount val="3"/>
                <c:pt idx="0">
                  <c:v>WP-2C1D</c:v>
                </c:pt>
                <c:pt idx="1">
                  <c:v>KI-6206</c:v>
                </c:pt>
                <c:pt idx="2">
                  <c:v>WE-0404</c:v>
                </c:pt>
              </c:strCache>
            </c:strRef>
          </c:cat>
          <c:val>
            <c:numRef>
              <c:f>Pivot!$F$12:$F$20</c:f>
              <c:numCache>
                <c:formatCode>General</c:formatCode>
                <c:ptCount val="9"/>
                <c:pt idx="0">
                  <c:v>7</c:v>
                </c:pt>
                <c:pt idx="1">
                  <c:v>3</c:v>
                </c:pt>
                <c:pt idx="2">
                  <c:v>2</c:v>
                </c:pt>
              </c:numCache>
            </c:numRef>
          </c:val>
          <c:extLst>
            <c:ext xmlns:c16="http://schemas.microsoft.com/office/drawing/2014/chart" uri="{C3380CC4-5D6E-409C-BE32-E72D297353CC}">
              <c16:uniqueId val="{00000000-84E7-4DD2-BB8D-456B622E3B6E}"/>
            </c:ext>
          </c:extLst>
        </c:ser>
        <c:dLbls>
          <c:showLegendKey val="0"/>
          <c:showVal val="0"/>
          <c:showCatName val="0"/>
          <c:showSerName val="0"/>
          <c:showPercent val="0"/>
          <c:showBubbleSize val="0"/>
        </c:dLbls>
        <c:gapWidth val="219"/>
        <c:overlap val="-27"/>
        <c:axId val="1119662768"/>
        <c:axId val="1119664568"/>
      </c:barChart>
      <c:catAx>
        <c:axId val="11196627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19664568"/>
        <c:crosses val="autoZero"/>
        <c:auto val="1"/>
        <c:lblAlgn val="ctr"/>
        <c:lblOffset val="100"/>
        <c:noMultiLvlLbl val="0"/>
      </c:catAx>
      <c:valAx>
        <c:axId val="111966456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1966276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MTBFp</a:t>
            </a:r>
            <a:r>
              <a:rPr lang="en-US" baseline="0"/>
              <a:t> / MTBFu for Field systems</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8.0435909037533129E-2"/>
          <c:y val="0.20668630343160735"/>
          <c:w val="0.8590768260527174"/>
          <c:h val="0.73541596940953424"/>
        </c:manualLayout>
      </c:layout>
      <c:barChart>
        <c:barDir val="col"/>
        <c:grouping val="clustered"/>
        <c:varyColors val="0"/>
        <c:ser>
          <c:idx val="0"/>
          <c:order val="0"/>
          <c:spPr>
            <a:solidFill>
              <a:schemeClr val="accent1"/>
            </a:solidFill>
            <a:ln>
              <a:noFill/>
            </a:ln>
            <a:effectLst/>
          </c:spPr>
          <c:invertIfNegative val="0"/>
          <c:cat>
            <c:strRef>
              <c:f>'MTBF graph_FIELD'!$B$6:$B$36</c:f>
              <c:strCache>
                <c:ptCount val="31"/>
                <c:pt idx="0">
                  <c:v>wk2502</c:v>
                </c:pt>
                <c:pt idx="1">
                  <c:v>wk2503</c:v>
                </c:pt>
                <c:pt idx="2">
                  <c:v>wk2504</c:v>
                </c:pt>
                <c:pt idx="3">
                  <c:v>wk2505</c:v>
                </c:pt>
                <c:pt idx="4">
                  <c:v>wk2506</c:v>
                </c:pt>
                <c:pt idx="5">
                  <c:v>wk2507</c:v>
                </c:pt>
                <c:pt idx="6">
                  <c:v>wk2508</c:v>
                </c:pt>
                <c:pt idx="7">
                  <c:v>wk2509</c:v>
                </c:pt>
                <c:pt idx="8">
                  <c:v>wk2510</c:v>
                </c:pt>
                <c:pt idx="9">
                  <c:v>wk2511</c:v>
                </c:pt>
                <c:pt idx="10">
                  <c:v>wk2512</c:v>
                </c:pt>
                <c:pt idx="11">
                  <c:v>wk2513</c:v>
                </c:pt>
                <c:pt idx="12">
                  <c:v>wk2514</c:v>
                </c:pt>
                <c:pt idx="13">
                  <c:v>wk2515</c:v>
                </c:pt>
                <c:pt idx="14">
                  <c:v>wk2516</c:v>
                </c:pt>
                <c:pt idx="15">
                  <c:v>wk2517</c:v>
                </c:pt>
                <c:pt idx="16">
                  <c:v>wk2518</c:v>
                </c:pt>
                <c:pt idx="17">
                  <c:v>wk2519</c:v>
                </c:pt>
                <c:pt idx="18">
                  <c:v>wk2520</c:v>
                </c:pt>
                <c:pt idx="19">
                  <c:v>wk2521</c:v>
                </c:pt>
                <c:pt idx="20">
                  <c:v>wk2522</c:v>
                </c:pt>
                <c:pt idx="21">
                  <c:v>wk2523</c:v>
                </c:pt>
                <c:pt idx="22">
                  <c:v>wk2524</c:v>
                </c:pt>
                <c:pt idx="23">
                  <c:v>wk2525</c:v>
                </c:pt>
                <c:pt idx="24">
                  <c:v>wk2526</c:v>
                </c:pt>
                <c:pt idx="25">
                  <c:v>wk2526</c:v>
                </c:pt>
                <c:pt idx="26">
                  <c:v>wk2526</c:v>
                </c:pt>
                <c:pt idx="27">
                  <c:v>wk2526</c:v>
                </c:pt>
                <c:pt idx="28">
                  <c:v>wk2526</c:v>
                </c:pt>
                <c:pt idx="29">
                  <c:v>wk2526</c:v>
                </c:pt>
                <c:pt idx="30">
                  <c:v>wk2526</c:v>
                </c:pt>
              </c:strCache>
            </c:strRef>
          </c:cat>
          <c:val>
            <c:numRef>
              <c:f>'MTBF graph_FIELD'!$I$6:$I$36</c:f>
              <c:numCache>
                <c:formatCode>0.0</c:formatCode>
                <c:ptCount val="31"/>
                <c:pt idx="0">
                  <c:v>42.9</c:v>
                </c:pt>
                <c:pt idx="1">
                  <c:v>86.933333333333323</c:v>
                </c:pt>
                <c:pt idx="2">
                  <c:v>133.97666733333332</c:v>
                </c:pt>
                <c:pt idx="3">
                  <c:v>58.715339666666665</c:v>
                </c:pt>
                <c:pt idx="4">
                  <c:v>54.279953749999997</c:v>
                </c:pt>
                <c:pt idx="5">
                  <c:v>57.509365142857135</c:v>
                </c:pt>
                <c:pt idx="6">
                  <c:v>57.540539294117643</c:v>
                </c:pt>
                <c:pt idx="7">
                  <c:v>58.13171063157894</c:v>
                </c:pt>
                <c:pt idx="8">
                  <c:v>56.070378909090898</c:v>
                </c:pt>
                <c:pt idx="9">
                  <c:v>49.669619444444436</c:v>
                </c:pt>
                <c:pt idx="10">
                  <c:v>48.286805666666659</c:v>
                </c:pt>
                <c:pt idx="11">
                  <c:v>47.804781272727269</c:v>
                </c:pt>
                <c:pt idx="12">
                  <c:v>38.593390227272728</c:v>
                </c:pt>
                <c:pt idx="13">
                  <c:v>39.850562069767442</c:v>
                </c:pt>
                <c:pt idx="14">
                  <c:v>40.164507636363638</c:v>
                </c:pt>
                <c:pt idx="15">
                  <c:v>38.068556782608695</c:v>
                </c:pt>
                <c:pt idx="16">
                  <c:v>43.302852317073182</c:v>
                </c:pt>
                <c:pt idx="17">
                  <c:v>45.831901769230775</c:v>
                </c:pt>
                <c:pt idx="18">
                  <c:v>45.165069525</c:v>
                </c:pt>
                <c:pt idx="19">
                  <c:v>43.035886309523804</c:v>
                </c:pt>
                <c:pt idx="20">
                  <c:v>44.756931309523807</c:v>
                </c:pt>
                <c:pt idx="21">
                  <c:v>49.66320528205128</c:v>
                </c:pt>
                <c:pt idx="22">
                  <c:v>57.374095400000009</c:v>
                </c:pt>
                <c:pt idx="23">
                  <c:v>54.301968400000007</c:v>
                </c:pt>
                <c:pt idx="24">
                  <c:v>52.106331823529409</c:v>
                </c:pt>
                <c:pt idx="25">
                  <c:v>66.042555759999999</c:v>
                </c:pt>
                <c:pt idx="26">
                  <c:v>65.517343260869566</c:v>
                </c:pt>
                <c:pt idx="27">
                  <c:v>55.047280333333333</c:v>
                </c:pt>
                <c:pt idx="28">
                  <c:v>47.843578000000001</c:v>
                </c:pt>
                <c:pt idx="29">
                  <c:v>43.55491924999999</c:v>
                </c:pt>
                <c:pt idx="30">
                  <c:v>39.581280434782613</c:v>
                </c:pt>
              </c:numCache>
            </c:numRef>
          </c:val>
          <c:extLst>
            <c:ext xmlns:c15="http://schemas.microsoft.com/office/drawing/2012/chart" uri="{02D57815-91ED-43cb-92C2-25804820EDAC}">
              <c15:filteredSeriesTitle>
                <c15:tx>
                  <c:strRef>
                    <c:extLst>
                      <c:ext uri="{02D57815-91ED-43cb-92C2-25804820EDAC}">
                        <c15:formulaRef>
                          <c15:sqref> </c15:sqref>
                        </c15:formulaRef>
                      </c:ext>
                    </c:extLst>
                  </c:strRef>
                </c15:tx>
              </c15:filteredSeriesTitle>
            </c:ext>
            <c:ext xmlns:c16="http://schemas.microsoft.com/office/drawing/2014/chart" uri="{C3380CC4-5D6E-409C-BE32-E72D297353CC}">
              <c16:uniqueId val="{00000000-E320-40AA-88A3-57038553795C}"/>
            </c:ext>
          </c:extLst>
        </c:ser>
        <c:ser>
          <c:idx val="2"/>
          <c:order val="1"/>
          <c:spPr>
            <a:solidFill>
              <a:schemeClr val="accent3"/>
            </a:solidFill>
            <a:ln>
              <a:noFill/>
            </a:ln>
            <a:effectLst/>
          </c:spPr>
          <c:invertIfNegative val="0"/>
          <c:cat>
            <c:strRef>
              <c:f>'MTBF graph_FIELD'!$B$6:$B$36</c:f>
              <c:strCache>
                <c:ptCount val="31"/>
                <c:pt idx="0">
                  <c:v>wk2502</c:v>
                </c:pt>
                <c:pt idx="1">
                  <c:v>wk2503</c:v>
                </c:pt>
                <c:pt idx="2">
                  <c:v>wk2504</c:v>
                </c:pt>
                <c:pt idx="3">
                  <c:v>wk2505</c:v>
                </c:pt>
                <c:pt idx="4">
                  <c:v>wk2506</c:v>
                </c:pt>
                <c:pt idx="5">
                  <c:v>wk2507</c:v>
                </c:pt>
                <c:pt idx="6">
                  <c:v>wk2508</c:v>
                </c:pt>
                <c:pt idx="7">
                  <c:v>wk2509</c:v>
                </c:pt>
                <c:pt idx="8">
                  <c:v>wk2510</c:v>
                </c:pt>
                <c:pt idx="9">
                  <c:v>wk2511</c:v>
                </c:pt>
                <c:pt idx="10">
                  <c:v>wk2512</c:v>
                </c:pt>
                <c:pt idx="11">
                  <c:v>wk2513</c:v>
                </c:pt>
                <c:pt idx="12">
                  <c:v>wk2514</c:v>
                </c:pt>
                <c:pt idx="13">
                  <c:v>wk2515</c:v>
                </c:pt>
                <c:pt idx="14">
                  <c:v>wk2516</c:v>
                </c:pt>
                <c:pt idx="15">
                  <c:v>wk2517</c:v>
                </c:pt>
                <c:pt idx="16">
                  <c:v>wk2518</c:v>
                </c:pt>
                <c:pt idx="17">
                  <c:v>wk2519</c:v>
                </c:pt>
                <c:pt idx="18">
                  <c:v>wk2520</c:v>
                </c:pt>
                <c:pt idx="19">
                  <c:v>wk2521</c:v>
                </c:pt>
                <c:pt idx="20">
                  <c:v>wk2522</c:v>
                </c:pt>
                <c:pt idx="21">
                  <c:v>wk2523</c:v>
                </c:pt>
                <c:pt idx="22">
                  <c:v>wk2524</c:v>
                </c:pt>
                <c:pt idx="23">
                  <c:v>wk2525</c:v>
                </c:pt>
                <c:pt idx="24">
                  <c:v>wk2526</c:v>
                </c:pt>
                <c:pt idx="25">
                  <c:v>wk2526</c:v>
                </c:pt>
                <c:pt idx="26">
                  <c:v>wk2526</c:v>
                </c:pt>
                <c:pt idx="27">
                  <c:v>wk2526</c:v>
                </c:pt>
                <c:pt idx="28">
                  <c:v>wk2526</c:v>
                </c:pt>
                <c:pt idx="29">
                  <c:v>wk2526</c:v>
                </c:pt>
                <c:pt idx="30">
                  <c:v>wk2526</c:v>
                </c:pt>
              </c:strCache>
            </c:strRef>
          </c:cat>
          <c:val>
            <c:numRef>
              <c:f>'MTBF graph_FIELD'!$L$6:$L$36</c:f>
              <c:numCache>
                <c:formatCode>0.0</c:formatCode>
                <c:ptCount val="31"/>
                <c:pt idx="0">
                  <c:v>24.777777777777779</c:v>
                </c:pt>
                <c:pt idx="1">
                  <c:v>43</c:v>
                </c:pt>
                <c:pt idx="2">
                  <c:v>32.227272727272727</c:v>
                </c:pt>
                <c:pt idx="3">
                  <c:v>27.0854166875</c:v>
                </c:pt>
                <c:pt idx="4">
                  <c:v>30.4922222</c:v>
                </c:pt>
                <c:pt idx="5">
                  <c:v>34.687134447368429</c:v>
                </c:pt>
                <c:pt idx="6">
                  <c:v>37.407407380952385</c:v>
                </c:pt>
                <c:pt idx="7">
                  <c:v>39.46085856818182</c:v>
                </c:pt>
                <c:pt idx="8">
                  <c:v>41.17825057446808</c:v>
                </c:pt>
                <c:pt idx="9">
                  <c:v>38.579292890909088</c:v>
                </c:pt>
                <c:pt idx="10">
                  <c:v>38.540462916666669</c:v>
                </c:pt>
                <c:pt idx="11">
                  <c:v>39.569488492063492</c:v>
                </c:pt>
                <c:pt idx="12">
                  <c:v>36.074924891891889</c:v>
                </c:pt>
                <c:pt idx="13">
                  <c:v>39.321977058823528</c:v>
                </c:pt>
                <c:pt idx="14">
                  <c:v>38.99436386956522</c:v>
                </c:pt>
                <c:pt idx="15">
                  <c:v>42.302329661290322</c:v>
                </c:pt>
                <c:pt idx="16">
                  <c:v>48.867171563636369</c:v>
                </c:pt>
                <c:pt idx="17">
                  <c:v>50.42530851851852</c:v>
                </c:pt>
                <c:pt idx="18">
                  <c:v>49.670605963636362</c:v>
                </c:pt>
                <c:pt idx="19">
                  <c:v>48.928273696428576</c:v>
                </c:pt>
                <c:pt idx="20">
                  <c:v>50.673809446428571</c:v>
                </c:pt>
                <c:pt idx="21">
                  <c:v>54.840880471698107</c:v>
                </c:pt>
                <c:pt idx="22">
                  <c:v>63.205171382978733</c:v>
                </c:pt>
                <c:pt idx="23">
                  <c:v>61.779475311111121</c:v>
                </c:pt>
                <c:pt idx="24">
                  <c:v>59.082417931818185</c:v>
                </c:pt>
                <c:pt idx="25">
                  <c:v>69.227420628571423</c:v>
                </c:pt>
                <c:pt idx="26">
                  <c:v>68.612803874999997</c:v>
                </c:pt>
                <c:pt idx="27">
                  <c:v>60.27790803125</c:v>
                </c:pt>
                <c:pt idx="28">
                  <c:v>56.798700806451606</c:v>
                </c:pt>
                <c:pt idx="29">
                  <c:v>54.93129978571428</c:v>
                </c:pt>
                <c:pt idx="30">
                  <c:v>50.088835653846147</c:v>
                </c:pt>
              </c:numCache>
            </c:numRef>
          </c:val>
          <c:extLst>
            <c:ext xmlns:c15="http://schemas.microsoft.com/office/drawing/2012/chart" uri="{02D57815-91ED-43cb-92C2-25804820EDAC}">
              <c15:filteredSeriesTitle>
                <c15:tx>
                  <c:strRef>
                    <c:extLst>
                      <c:ext uri="{02D57815-91ED-43cb-92C2-25804820EDAC}">
                        <c15:formulaRef>
                          <c15:sqref> </c15:sqref>
                        </c15:formulaRef>
                      </c:ext>
                    </c:extLst>
                  </c:strRef>
                </c15:tx>
              </c15:filteredSeriesTitle>
            </c:ext>
            <c:ext xmlns:c16="http://schemas.microsoft.com/office/drawing/2014/chart" uri="{C3380CC4-5D6E-409C-BE32-E72D297353CC}">
              <c16:uniqueId val="{00000001-E320-40AA-88A3-57038553795C}"/>
            </c:ext>
          </c:extLst>
        </c:ser>
        <c:dLbls>
          <c:showLegendKey val="0"/>
          <c:showVal val="0"/>
          <c:showCatName val="0"/>
          <c:showSerName val="0"/>
          <c:showPercent val="0"/>
          <c:showBubbleSize val="0"/>
        </c:dLbls>
        <c:gapWidth val="50"/>
        <c:axId val="923793232"/>
        <c:axId val="923795392"/>
      </c:barChart>
      <c:lineChart>
        <c:grouping val="standard"/>
        <c:varyColors val="0"/>
        <c:ser>
          <c:idx val="1"/>
          <c:order val="2"/>
          <c:spPr>
            <a:ln w="28575" cap="rnd">
              <a:solidFill>
                <a:srgbClr val="002060"/>
              </a:solidFill>
              <a:round/>
            </a:ln>
            <a:effectLst/>
          </c:spPr>
          <c:marker>
            <c:symbol val="triangle"/>
            <c:size val="8"/>
            <c:spPr>
              <a:solidFill>
                <a:srgbClr val="002060"/>
              </a:solidFill>
              <a:ln w="9525">
                <a:solidFill>
                  <a:srgbClr val="002060"/>
                </a:solidFill>
              </a:ln>
              <a:effectLst/>
            </c:spPr>
          </c:marker>
          <c:dLbls>
            <c:spPr>
              <a:solidFill>
                <a:sysClr val="window" lastClr="FFFFFF"/>
              </a:solidFill>
              <a:ln>
                <a:solidFill>
                  <a:srgbClr val="002060"/>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'MTBF graph_FIELD'!$B$6:$B$36</c:f>
              <c:strCache>
                <c:ptCount val="31"/>
                <c:pt idx="0">
                  <c:v>wk2502</c:v>
                </c:pt>
                <c:pt idx="1">
                  <c:v>wk2503</c:v>
                </c:pt>
                <c:pt idx="2">
                  <c:v>wk2504</c:v>
                </c:pt>
                <c:pt idx="3">
                  <c:v>wk2505</c:v>
                </c:pt>
                <c:pt idx="4">
                  <c:v>wk2506</c:v>
                </c:pt>
                <c:pt idx="5">
                  <c:v>wk2507</c:v>
                </c:pt>
                <c:pt idx="6">
                  <c:v>wk2508</c:v>
                </c:pt>
                <c:pt idx="7">
                  <c:v>wk2509</c:v>
                </c:pt>
                <c:pt idx="8">
                  <c:v>wk2510</c:v>
                </c:pt>
                <c:pt idx="9">
                  <c:v>wk2511</c:v>
                </c:pt>
                <c:pt idx="10">
                  <c:v>wk2512</c:v>
                </c:pt>
                <c:pt idx="11">
                  <c:v>wk2513</c:v>
                </c:pt>
                <c:pt idx="12">
                  <c:v>wk2514</c:v>
                </c:pt>
                <c:pt idx="13">
                  <c:v>wk2515</c:v>
                </c:pt>
                <c:pt idx="14">
                  <c:v>wk2516</c:v>
                </c:pt>
                <c:pt idx="15">
                  <c:v>wk2517</c:v>
                </c:pt>
                <c:pt idx="16">
                  <c:v>wk2518</c:v>
                </c:pt>
                <c:pt idx="17">
                  <c:v>wk2519</c:v>
                </c:pt>
                <c:pt idx="18">
                  <c:v>wk2520</c:v>
                </c:pt>
                <c:pt idx="19">
                  <c:v>wk2521</c:v>
                </c:pt>
                <c:pt idx="20">
                  <c:v>wk2522</c:v>
                </c:pt>
                <c:pt idx="21">
                  <c:v>wk2523</c:v>
                </c:pt>
                <c:pt idx="22">
                  <c:v>wk2524</c:v>
                </c:pt>
                <c:pt idx="23">
                  <c:v>wk2525</c:v>
                </c:pt>
                <c:pt idx="24">
                  <c:v>wk2526</c:v>
                </c:pt>
                <c:pt idx="25">
                  <c:v>wk2526</c:v>
                </c:pt>
                <c:pt idx="26">
                  <c:v>wk2526</c:v>
                </c:pt>
                <c:pt idx="27">
                  <c:v>wk2526</c:v>
                </c:pt>
                <c:pt idx="28">
                  <c:v>wk2526</c:v>
                </c:pt>
                <c:pt idx="29">
                  <c:v>wk2526</c:v>
                </c:pt>
                <c:pt idx="30">
                  <c:v>wk2526</c:v>
                </c:pt>
              </c:strCache>
            </c:strRef>
          </c:cat>
          <c:val>
            <c:numRef>
              <c:f>'MTBF graph_FIELD'!$H$6:$H$36</c:f>
              <c:numCache>
                <c:formatCode>0.0</c:formatCode>
                <c:ptCount val="31"/>
                <c:pt idx="0">
                  <c:v>42.9</c:v>
                </c:pt>
                <c:pt idx="1">
                  <c:v>86.933333333333323</c:v>
                </c:pt>
                <c:pt idx="2">
                  <c:v>133.97666733333332</c:v>
                </c:pt>
                <c:pt idx="3">
                  <c:v>58.715339666666665</c:v>
                </c:pt>
                <c:pt idx="4">
                  <c:v>58.07327166666667</c:v>
                </c:pt>
                <c:pt idx="5">
                  <c:v>49.484646545454545</c:v>
                </c:pt>
                <c:pt idx="6">
                  <c:v>41.161368999999993</c:v>
                </c:pt>
                <c:pt idx="7">
                  <c:v>57.606444499999995</c:v>
                </c:pt>
                <c:pt idx="8">
                  <c:v>58.218889099999998</c:v>
                </c:pt>
                <c:pt idx="9">
                  <c:v>41.226816384615375</c:v>
                </c:pt>
                <c:pt idx="10">
                  <c:v>36.185769384615384</c:v>
                </c:pt>
                <c:pt idx="11">
                  <c:v>33.789662857142851</c:v>
                </c:pt>
                <c:pt idx="12">
                  <c:v>21.116401545454547</c:v>
                </c:pt>
                <c:pt idx="13">
                  <c:v>26.378654947368421</c:v>
                </c:pt>
                <c:pt idx="14">
                  <c:v>34.084362705882356</c:v>
                </c:pt>
                <c:pt idx="15">
                  <c:v>35.970364500000002</c:v>
                </c:pt>
                <c:pt idx="16">
                  <c:v>100.95763866666668</c:v>
                </c:pt>
                <c:pt idx="17">
                  <c:v>119.30588900000001</c:v>
                </c:pt>
                <c:pt idx="18">
                  <c:v>83.385079571428577</c:v>
                </c:pt>
                <c:pt idx="19">
                  <c:v>63.261277900000003</c:v>
                </c:pt>
                <c:pt idx="20">
                  <c:v>61.858055909090901</c:v>
                </c:pt>
                <c:pt idx="21">
                  <c:v>73.160972799999996</c:v>
                </c:pt>
                <c:pt idx="22">
                  <c:v>92.179896374999998</c:v>
                </c:pt>
                <c:pt idx="23">
                  <c:v>93.912778500000002</c:v>
                </c:pt>
                <c:pt idx="24">
                  <c:v>60.813241166666671</c:v>
                </c:pt>
                <c:pt idx="25">
                  <c:v>22.344965249999998</c:v>
                </c:pt>
                <c:pt idx="26">
                  <c:v>0</c:v>
                </c:pt>
                <c:pt idx="27">
                  <c:v>0</c:v>
                </c:pt>
                <c:pt idx="28">
                  <c:v>0</c:v>
                </c:pt>
                <c:pt idx="29">
                  <c:v>0</c:v>
                </c:pt>
                <c:pt idx="30">
                  <c:v>0</c:v>
                </c:pt>
              </c:numCache>
            </c:numRef>
          </c:val>
          <c:smooth val="0"/>
          <c:extLst>
            <c:ext xmlns:c15="http://schemas.microsoft.com/office/drawing/2012/chart" uri="{02D57815-91ED-43cb-92C2-25804820EDAC}">
              <c15:filteredSeriesTitle>
                <c15:tx>
                  <c:strRef>
                    <c:extLst>
                      <c:ext uri="{02D57815-91ED-43cb-92C2-25804820EDAC}">
                        <c15:formulaRef>
                          <c15:sqref> </c15:sqref>
                        </c15:formulaRef>
                      </c:ext>
                    </c:extLst>
                  </c:strRef>
                </c15:tx>
              </c15:filteredSeriesTitle>
            </c:ext>
            <c:ext xmlns:c16="http://schemas.microsoft.com/office/drawing/2014/chart" uri="{C3380CC4-5D6E-409C-BE32-E72D297353CC}">
              <c16:uniqueId val="{00000004-E320-40AA-88A3-57038553795C}"/>
            </c:ext>
          </c:extLst>
        </c:ser>
        <c:ser>
          <c:idx val="3"/>
          <c:order val="3"/>
          <c:spPr>
            <a:ln w="28575" cap="rnd">
              <a:solidFill>
                <a:schemeClr val="bg1">
                  <a:lumMod val="65000"/>
                </a:schemeClr>
              </a:solidFill>
              <a:round/>
            </a:ln>
            <a:effectLst/>
          </c:spPr>
          <c:marker>
            <c:symbol val="diamond"/>
            <c:size val="8"/>
            <c:spPr>
              <a:solidFill>
                <a:schemeClr val="bg1">
                  <a:lumMod val="65000"/>
                  <a:alpha val="95000"/>
                </a:schemeClr>
              </a:solidFill>
              <a:ln w="9525">
                <a:solidFill>
                  <a:schemeClr val="bg1">
                    <a:lumMod val="65000"/>
                  </a:schemeClr>
                </a:solidFill>
              </a:ln>
              <a:effectLst/>
            </c:spPr>
          </c:marker>
          <c:dLbls>
            <c:spPr>
              <a:solidFill>
                <a:sysClr val="window" lastClr="FFFFFF"/>
              </a:solidFill>
              <a:ln>
                <a:solidFill>
                  <a:sysClr val="window" lastClr="FFFFFF">
                    <a:lumMod val="6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lumMod val="65000"/>
                      </a:schemeClr>
                    </a:solidFill>
                    <a:latin typeface="+mn-lt"/>
                    <a:ea typeface="+mn-ea"/>
                    <a:cs typeface="+mn-cs"/>
                  </a:defRPr>
                </a:pPr>
                <a:endParaRPr lang="en-US"/>
              </a:p>
            </c:txPr>
            <c:dLblPos val="b"/>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'MTBF graph_FIELD'!$B$6:$B$36</c:f>
              <c:strCache>
                <c:ptCount val="31"/>
                <c:pt idx="0">
                  <c:v>wk2502</c:v>
                </c:pt>
                <c:pt idx="1">
                  <c:v>wk2503</c:v>
                </c:pt>
                <c:pt idx="2">
                  <c:v>wk2504</c:v>
                </c:pt>
                <c:pt idx="3">
                  <c:v>wk2505</c:v>
                </c:pt>
                <c:pt idx="4">
                  <c:v>wk2506</c:v>
                </c:pt>
                <c:pt idx="5">
                  <c:v>wk2507</c:v>
                </c:pt>
                <c:pt idx="6">
                  <c:v>wk2508</c:v>
                </c:pt>
                <c:pt idx="7">
                  <c:v>wk2509</c:v>
                </c:pt>
                <c:pt idx="8">
                  <c:v>wk2510</c:v>
                </c:pt>
                <c:pt idx="9">
                  <c:v>wk2511</c:v>
                </c:pt>
                <c:pt idx="10">
                  <c:v>wk2512</c:v>
                </c:pt>
                <c:pt idx="11">
                  <c:v>wk2513</c:v>
                </c:pt>
                <c:pt idx="12">
                  <c:v>wk2514</c:v>
                </c:pt>
                <c:pt idx="13">
                  <c:v>wk2515</c:v>
                </c:pt>
                <c:pt idx="14">
                  <c:v>wk2516</c:v>
                </c:pt>
                <c:pt idx="15">
                  <c:v>wk2517</c:v>
                </c:pt>
                <c:pt idx="16">
                  <c:v>wk2518</c:v>
                </c:pt>
                <c:pt idx="17">
                  <c:v>wk2519</c:v>
                </c:pt>
                <c:pt idx="18">
                  <c:v>wk2520</c:v>
                </c:pt>
                <c:pt idx="19">
                  <c:v>wk2521</c:v>
                </c:pt>
                <c:pt idx="20">
                  <c:v>wk2522</c:v>
                </c:pt>
                <c:pt idx="21">
                  <c:v>wk2523</c:v>
                </c:pt>
                <c:pt idx="22">
                  <c:v>wk2524</c:v>
                </c:pt>
                <c:pt idx="23">
                  <c:v>wk2525</c:v>
                </c:pt>
                <c:pt idx="24">
                  <c:v>wk2526</c:v>
                </c:pt>
                <c:pt idx="25">
                  <c:v>wk2526</c:v>
                </c:pt>
                <c:pt idx="26">
                  <c:v>wk2526</c:v>
                </c:pt>
                <c:pt idx="27">
                  <c:v>wk2526</c:v>
                </c:pt>
                <c:pt idx="28">
                  <c:v>wk2526</c:v>
                </c:pt>
                <c:pt idx="29">
                  <c:v>wk2526</c:v>
                </c:pt>
                <c:pt idx="30">
                  <c:v>wk2526</c:v>
                </c:pt>
              </c:strCache>
            </c:strRef>
          </c:cat>
          <c:val>
            <c:numRef>
              <c:f>'MTBF graph_FIELD'!$K$6:$K$36</c:f>
              <c:numCache>
                <c:formatCode>0</c:formatCode>
                <c:ptCount val="31"/>
                <c:pt idx="0" formatCode="0.0">
                  <c:v>24.777777777777779</c:v>
                </c:pt>
                <c:pt idx="1">
                  <c:v>43</c:v>
                </c:pt>
                <c:pt idx="2">
                  <c:v>32.227272727272727</c:v>
                </c:pt>
                <c:pt idx="3">
                  <c:v>27.0854166875</c:v>
                </c:pt>
                <c:pt idx="4">
                  <c:v>32.47029911538462</c:v>
                </c:pt>
                <c:pt idx="5">
                  <c:v>31.300411444444446</c:v>
                </c:pt>
                <c:pt idx="6">
                  <c:v>43.105555500000001</c:v>
                </c:pt>
                <c:pt idx="7">
                  <c:v>72.462036916666662</c:v>
                </c:pt>
                <c:pt idx="8">
                  <c:v>72.345833333333331</c:v>
                </c:pt>
                <c:pt idx="9">
                  <c:v>47.279411764705884</c:v>
                </c:pt>
                <c:pt idx="10">
                  <c:v>41.184259166666671</c:v>
                </c:pt>
                <c:pt idx="11">
                  <c:v>39.821052526315796</c:v>
                </c:pt>
                <c:pt idx="12">
                  <c:v>27.191357962962961</c:v>
                </c:pt>
                <c:pt idx="13">
                  <c:v>35.228787772727273</c:v>
                </c:pt>
                <c:pt idx="14">
                  <c:v>42.559166600000005</c:v>
                </c:pt>
                <c:pt idx="15">
                  <c:v>39.946031619047616</c:v>
                </c:pt>
                <c:pt idx="16">
                  <c:v>68.067948307692305</c:v>
                </c:pt>
                <c:pt idx="17">
                  <c:v>74.441666416666664</c:v>
                </c:pt>
                <c:pt idx="18">
                  <c:v>68.183333076923077</c:v>
                </c:pt>
                <c:pt idx="19">
                  <c:v>69.953571285714276</c:v>
                </c:pt>
                <c:pt idx="20">
                  <c:v>78.429487384615385</c:v>
                </c:pt>
                <c:pt idx="21">
                  <c:v>95.613636818181803</c:v>
                </c:pt>
                <c:pt idx="22">
                  <c:v>115.83441411111113</c:v>
                </c:pt>
                <c:pt idx="23">
                  <c:v>111.62996099999999</c:v>
                </c:pt>
                <c:pt idx="24">
                  <c:v>74.070436857142866</c:v>
                </c:pt>
                <c:pt idx="25">
                  <c:v>27.83996911111111</c:v>
                </c:pt>
                <c:pt idx="26">
                  <c:v>0</c:v>
                </c:pt>
                <c:pt idx="27">
                  <c:v>0</c:v>
                </c:pt>
                <c:pt idx="28">
                  <c:v>0</c:v>
                </c:pt>
                <c:pt idx="29">
                  <c:v>0</c:v>
                </c:pt>
                <c:pt idx="30">
                  <c:v>0</c:v>
                </c:pt>
              </c:numCache>
            </c:numRef>
          </c:val>
          <c:smooth val="0"/>
          <c:extLst>
            <c:ext xmlns:c15="http://schemas.microsoft.com/office/drawing/2012/chart" uri="{02D57815-91ED-43cb-92C2-25804820EDAC}">
              <c15:filteredSeriesTitle>
                <c15:tx>
                  <c:strRef>
                    <c:extLst>
                      <c:ext uri="{02D57815-91ED-43cb-92C2-25804820EDAC}">
                        <c15:formulaRef>
                          <c15:sqref> </c15:sqref>
                        </c15:formulaRef>
                      </c:ext>
                    </c:extLst>
                  </c:strRef>
                </c15:tx>
              </c15:filteredSeriesTitle>
            </c:ext>
            <c:ext xmlns:c16="http://schemas.microsoft.com/office/drawing/2014/chart" uri="{C3380CC4-5D6E-409C-BE32-E72D297353CC}">
              <c16:uniqueId val="{00000009-E320-40AA-88A3-57038553795C}"/>
            </c:ext>
          </c:extLst>
        </c:ser>
        <c:dLbls>
          <c:showLegendKey val="0"/>
          <c:showVal val="0"/>
          <c:showCatName val="0"/>
          <c:showSerName val="0"/>
          <c:showPercent val="0"/>
          <c:showBubbleSize val="0"/>
        </c:dLbls>
        <c:marker val="1"/>
        <c:smooth val="0"/>
        <c:axId val="923793232"/>
        <c:axId val="923795392"/>
      </c:lineChart>
      <c:catAx>
        <c:axId val="92379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5392"/>
        <c:crossesAt val="0"/>
        <c:auto val="1"/>
        <c:lblAlgn val="ctr"/>
        <c:lblOffset val="100"/>
        <c:noMultiLvlLbl val="0"/>
      </c:catAx>
      <c:valAx>
        <c:axId val="923795392"/>
        <c:scaling>
          <c:orientation val="minMax"/>
          <c:max val="600"/>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MTBF [hrs]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3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MTBFp</a:t>
            </a:r>
            <a:r>
              <a:rPr lang="en-US" baseline="0"/>
              <a:t> / MTBFu for Intel EZ60</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'MTBF graph_GY86'!$G$5</c:f>
              <c:strCache>
                <c:ptCount val="1"/>
                <c:pt idx="0">
                  <c:v>MTBFp 1wma</c:v>
                </c:pt>
              </c:strCache>
            </c:strRef>
          </c:tx>
          <c:spPr>
            <a:solidFill>
              <a:schemeClr val="accent1">
                <a:alpha val="40000"/>
              </a:schemeClr>
            </a:solidFill>
            <a:ln w="9525">
              <a:solidFill>
                <a:schemeClr val="accent1"/>
              </a:solidFill>
              <a:prstDash val="solid"/>
            </a:ln>
            <a:effectLst/>
          </c:spPr>
          <c:invertIfNegative val="0"/>
          <c:cat>
            <c:strRef>
              <c:extLst>
                <c:ext xmlns:c15="http://schemas.microsoft.com/office/drawing/2012/chart" uri="{02D57815-91ED-43cb-92C2-25804820EDAC}">
                  <c15:fullRef>
                    <c15:sqref>'MTBF graph_GY86'!$B$6:$B$30</c15:sqref>
                  </c15:fullRef>
                </c:ext>
              </c:extLst>
              <c:f>'MTBF graph_GY86'!$B$23:$B$30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graph_GY86'!$G$6:$G$30</c15:sqref>
                  </c15:fullRef>
                </c:ext>
              </c:extLst>
              <c:f>'MTBF graph_GY86'!$G$23:$G$30</c:f>
              <c:numCache>
                <c:formatCode>0.0</c:formatCode>
                <c:ptCount val="8"/>
                <c:pt idx="0">
                  <c:v>0</c:v>
                </c:pt>
                <c:pt idx="1">
                  <c:v>0</c:v>
                </c:pt>
                <c:pt idx="2">
                  <c:v>0</c:v>
                </c:pt>
                <c:pt idx="3" formatCode="0">
                  <c:v>0</c:v>
                </c:pt>
                <c:pt idx="4" formatCode="0">
                  <c:v>0</c:v>
                </c:pt>
                <c:pt idx="5" formatCode="0">
                  <c:v>0</c:v>
                </c:pt>
                <c:pt idx="6" formatCode="0">
                  <c:v>0</c:v>
                </c:pt>
                <c:pt idx="7" formatCode="0">
                  <c:v>0</c:v>
                </c:pt>
              </c:numCache>
            </c:numRef>
          </c:val>
          <c:extLst>
            <c:ext xmlns:c16="http://schemas.microsoft.com/office/drawing/2014/chart" uri="{C3380CC4-5D6E-409C-BE32-E72D297353CC}">
              <c16:uniqueId val="{00000000-7122-4A5D-8EB3-AF6464579A46}"/>
            </c:ext>
          </c:extLst>
        </c:ser>
        <c:ser>
          <c:idx val="2"/>
          <c:order val="1"/>
          <c:tx>
            <c:strRef>
              <c:f>'MTBF graph_GY86'!$J$5</c:f>
              <c:strCache>
                <c:ptCount val="1"/>
                <c:pt idx="0">
                  <c:v>MTBFu 1wma</c:v>
                </c:pt>
              </c:strCache>
            </c:strRef>
          </c:tx>
          <c:spPr>
            <a:solidFill>
              <a:schemeClr val="accent3">
                <a:alpha val="40000"/>
              </a:schemeClr>
            </a:solidFill>
            <a:ln>
              <a:solidFill>
                <a:schemeClr val="bg1">
                  <a:lumMod val="65000"/>
                </a:schemeClr>
              </a:solidFill>
              <a:prstDash val="solid"/>
            </a:ln>
            <a:effectLst/>
          </c:spPr>
          <c:invertIfNegative val="0"/>
          <c:cat>
            <c:strRef>
              <c:extLst>
                <c:ext xmlns:c15="http://schemas.microsoft.com/office/drawing/2012/chart" uri="{02D57815-91ED-43cb-92C2-25804820EDAC}">
                  <c15:fullRef>
                    <c15:sqref>'MTBF graph_GY86'!$B$6:$B$30</c15:sqref>
                  </c15:fullRef>
                </c:ext>
              </c:extLst>
              <c:f>'MTBF graph_GY86'!$B$23:$B$30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graph_GY86'!$J$6:$J$30</c15:sqref>
                  </c15:fullRef>
                </c:ext>
              </c:extLst>
              <c:f>'MTBF graph_GY86'!$J$23:$J$30</c:f>
              <c:numCache>
                <c:formatCode>0.0</c:formatCode>
                <c:ptCount val="8"/>
                <c:pt idx="0">
                  <c:v>0</c:v>
                </c:pt>
                <c:pt idx="1">
                  <c:v>0</c:v>
                </c:pt>
                <c:pt idx="2">
                  <c:v>0</c:v>
                </c:pt>
                <c:pt idx="3">
                  <c:v>0</c:v>
                </c:pt>
                <c:pt idx="4">
                  <c:v>0</c:v>
                </c:pt>
                <c:pt idx="5">
                  <c:v>0</c:v>
                </c:pt>
                <c:pt idx="6">
                  <c:v>0</c:v>
                </c:pt>
                <c:pt idx="7">
                  <c:v>0</c:v>
                </c:pt>
              </c:numCache>
            </c:numRef>
          </c:val>
          <c:extLst>
            <c:ext xmlns:c16="http://schemas.microsoft.com/office/drawing/2014/chart" uri="{C3380CC4-5D6E-409C-BE32-E72D297353CC}">
              <c16:uniqueId val="{00000001-7122-4A5D-8EB3-AF6464579A46}"/>
            </c:ext>
          </c:extLst>
        </c:ser>
        <c:dLbls>
          <c:showLegendKey val="0"/>
          <c:showVal val="0"/>
          <c:showCatName val="0"/>
          <c:showSerName val="0"/>
          <c:showPercent val="0"/>
          <c:showBubbleSize val="0"/>
        </c:dLbls>
        <c:gapWidth val="50"/>
        <c:axId val="923793232"/>
        <c:axId val="923795392"/>
      </c:barChart>
      <c:lineChart>
        <c:grouping val="standard"/>
        <c:varyColors val="0"/>
        <c:ser>
          <c:idx val="1"/>
          <c:order val="2"/>
          <c:tx>
            <c:strRef>
              <c:f>'MTBF graph_GY86'!$H$5</c:f>
              <c:strCache>
                <c:ptCount val="1"/>
                <c:pt idx="0">
                  <c:v>MTBFp 4wma</c:v>
                </c:pt>
              </c:strCache>
            </c:strRef>
          </c:tx>
          <c:spPr>
            <a:ln w="28575" cap="rnd">
              <a:solidFill>
                <a:srgbClr val="002060"/>
              </a:solidFill>
              <a:round/>
            </a:ln>
            <a:effectLst/>
          </c:spPr>
          <c:marker>
            <c:symbol val="triangle"/>
            <c:size val="8"/>
            <c:spPr>
              <a:solidFill>
                <a:srgbClr val="002060"/>
              </a:solidFill>
              <a:ln w="9525">
                <a:solidFill>
                  <a:srgbClr val="002060"/>
                </a:solidFill>
              </a:ln>
              <a:effectLst/>
            </c:spPr>
          </c:marker>
          <c:dLbls>
            <c:spPr>
              <a:solidFill>
                <a:sysClr val="window" lastClr="FFFFFF"/>
              </a:solidFill>
              <a:ln>
                <a:solidFill>
                  <a:srgbClr val="002060"/>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extLst>
                <c:ext xmlns:c15="http://schemas.microsoft.com/office/drawing/2012/chart" uri="{02D57815-91ED-43cb-92C2-25804820EDAC}">
                  <c15:fullRef>
                    <c15:sqref>'MTBF graph_GY86'!$B$6:$B$30</c15:sqref>
                  </c15:fullRef>
                </c:ext>
              </c:extLst>
              <c:f>'MTBF graph_GY86'!$B$23:$B$30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graph_GY86'!$H$6:$H$30</c15:sqref>
                  </c15:fullRef>
                </c:ext>
              </c:extLst>
              <c:f>'MTBF graph_GY86'!$H$23:$H$30</c:f>
              <c:numCache>
                <c:formatCode>0.0</c:formatCode>
                <c:ptCount val="8"/>
                <c:pt idx="0">
                  <c:v>0</c:v>
                </c:pt>
                <c:pt idx="1">
                  <c:v>0</c:v>
                </c:pt>
                <c:pt idx="2">
                  <c:v>0</c:v>
                </c:pt>
                <c:pt idx="3">
                  <c:v>0</c:v>
                </c:pt>
                <c:pt idx="4">
                  <c:v>0</c:v>
                </c:pt>
                <c:pt idx="5">
                  <c:v>0</c:v>
                </c:pt>
                <c:pt idx="6">
                  <c:v>0</c:v>
                </c:pt>
                <c:pt idx="7">
                  <c:v>0</c:v>
                </c:pt>
              </c:numCache>
            </c:numRef>
          </c:val>
          <c:smooth val="0"/>
          <c:extLst>
            <c:ext xmlns:c15="http://schemas.microsoft.com/office/drawing/2012/chart" uri="{02D57815-91ED-43cb-92C2-25804820EDAC}">
              <c15:categoryFilterExceptions>
                <c15:categoryFilterException>
                  <c15:sqref>'MTBF graph_GY86'!$H$10</c15:sqref>
                  <c15:dLbl>
                    <c:idx val="-1"/>
                    <c:layout>
                      <c:manualLayout>
                        <c:x val="-3.7030727160750919E-2"/>
                        <c:y val="3.9682068195016407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0-7796-43F1-AE71-B12B11F2FE54}"/>
                      </c:ext>
                    </c:extLst>
                  </c15:dLbl>
                </c15:categoryFilterException>
                <c15:categoryFilterException>
                  <c15:sqref>'MTBF graph_GY86'!$H$11</c15:sqref>
                  <c15:dLbl>
                    <c:idx val="-1"/>
                    <c:layout>
                      <c:manualLayout>
                        <c:x val="-3.5930914678936422E-2"/>
                        <c:y val="4.6214218361842384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1-7796-43F1-AE71-B12B11F2FE54}"/>
                      </c:ext>
                    </c:extLst>
                  </c15:dLbl>
                </c15:categoryFilterException>
                <c15:categoryFilterException>
                  <c15:sqref>'MTBF graph_GY86'!$H$15</c15:sqref>
                  <c15:dLbl>
                    <c:idx val="-1"/>
                    <c:layout>
                      <c:manualLayout>
                        <c:x val="-2.651418871272182E-2"/>
                        <c:y val="6.293336461428487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2-7796-43F1-AE71-B12B11F2FE54}"/>
                      </c:ext>
                    </c:extLst>
                  </c15:dLbl>
                </c15:categoryFilterException>
                <c15:categoryFilterException>
                  <c15:sqref>'MTBF graph_GY86'!$H$16</c15:sqref>
                  <c15:dLbl>
                    <c:idx val="-1"/>
                    <c:layout>
                      <c:manualLayout>
                        <c:x val="-2.2111816258688424E-2"/>
                        <c:y val="5.0750929636448942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3-7796-43F1-AE71-B12B11F2FE54}"/>
                      </c:ext>
                    </c:extLst>
                  </c15:dLbl>
                </c15:categoryFilterException>
              </c15:categoryFilterExceptions>
            </c:ext>
            <c:ext xmlns:c16="http://schemas.microsoft.com/office/drawing/2014/chart" uri="{C3380CC4-5D6E-409C-BE32-E72D297353CC}">
              <c16:uniqueId val="{00000002-7122-4A5D-8EB3-AF6464579A46}"/>
            </c:ext>
          </c:extLst>
        </c:ser>
        <c:ser>
          <c:idx val="3"/>
          <c:order val="3"/>
          <c:tx>
            <c:strRef>
              <c:f>'MTBF graph_GY86'!$K$5</c:f>
              <c:strCache>
                <c:ptCount val="1"/>
                <c:pt idx="0">
                  <c:v>MTBFu 4wma</c:v>
                </c:pt>
              </c:strCache>
            </c:strRef>
          </c:tx>
          <c:spPr>
            <a:ln w="28575" cap="rnd">
              <a:solidFill>
                <a:schemeClr val="bg1">
                  <a:lumMod val="65000"/>
                </a:schemeClr>
              </a:solidFill>
              <a:round/>
            </a:ln>
            <a:effectLst/>
          </c:spPr>
          <c:marker>
            <c:symbol val="diamond"/>
            <c:size val="8"/>
            <c:spPr>
              <a:solidFill>
                <a:schemeClr val="bg1">
                  <a:lumMod val="65000"/>
                  <a:alpha val="95000"/>
                </a:schemeClr>
              </a:solidFill>
              <a:ln w="9525">
                <a:solidFill>
                  <a:schemeClr val="bg1">
                    <a:lumMod val="65000"/>
                  </a:schemeClr>
                </a:solidFill>
              </a:ln>
              <a:effectLst/>
            </c:spPr>
          </c:marker>
          <c:dLbls>
            <c:spPr>
              <a:solidFill>
                <a:sysClr val="window" lastClr="FFFFFF"/>
              </a:solidFill>
              <a:ln>
                <a:solidFill>
                  <a:sysClr val="window" lastClr="FFFFFF">
                    <a:lumMod val="6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lumMod val="65000"/>
                      </a:schemeClr>
                    </a:solidFill>
                    <a:latin typeface="+mn-lt"/>
                    <a:ea typeface="+mn-ea"/>
                    <a:cs typeface="+mn-cs"/>
                  </a:defRPr>
                </a:pPr>
                <a:endParaRPr lang="en-US"/>
              </a:p>
            </c:txPr>
            <c:dLblPos val="b"/>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extLst>
                <c:ext xmlns:c15="http://schemas.microsoft.com/office/drawing/2012/chart" uri="{02D57815-91ED-43cb-92C2-25804820EDAC}">
                  <c15:fullRef>
                    <c15:sqref>'MTBF graph_GY86'!$B$6:$B$30</c15:sqref>
                  </c15:fullRef>
                </c:ext>
              </c:extLst>
              <c:f>'MTBF graph_GY86'!$B$23:$B$30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graph_GY86'!$K$6:$K$30</c15:sqref>
                  </c15:fullRef>
                </c:ext>
              </c:extLst>
              <c:f>'MTBF graph_GY86'!$K$23:$K$30</c:f>
              <c:numCache>
                <c:formatCode>0.0</c:formatCode>
                <c:ptCount val="8"/>
                <c:pt idx="0">
                  <c:v>0</c:v>
                </c:pt>
                <c:pt idx="1">
                  <c:v>0</c:v>
                </c:pt>
                <c:pt idx="2">
                  <c:v>0</c:v>
                </c:pt>
                <c:pt idx="3" formatCode="0">
                  <c:v>0</c:v>
                </c:pt>
                <c:pt idx="4" formatCode="0">
                  <c:v>0</c:v>
                </c:pt>
                <c:pt idx="5" formatCode="0">
                  <c:v>0</c:v>
                </c:pt>
                <c:pt idx="6" formatCode="0">
                  <c:v>0</c:v>
                </c:pt>
                <c:pt idx="7" formatCode="0">
                  <c:v>0</c:v>
                </c:pt>
              </c:numCache>
            </c:numRef>
          </c:val>
          <c:smooth val="0"/>
          <c:extLst>
            <c:ext xmlns:c15="http://schemas.microsoft.com/office/drawing/2012/chart" uri="{02D57815-91ED-43cb-92C2-25804820EDAC}">
              <c15:categoryFilterExceptions>
                <c15:categoryFilterException>
                  <c15:sqref>'MTBF graph_GY86'!$K$10</c15:sqref>
                  <c15:dLbl>
                    <c:idx val="-1"/>
                    <c:layout>
                      <c:manualLayout>
                        <c:x val="-3.7030727160750919E-2"/>
                        <c:y val="-4.632941916023020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4-7796-43F1-AE71-B12B11F2FE54}"/>
                      </c:ext>
                    </c:extLst>
                  </c15:dLbl>
                </c15:categoryFilterException>
                <c15:categoryFilterException>
                  <c15:sqref>'MTBF graph_GY86'!$K$11</c15:sqref>
                  <c15:dLbl>
                    <c:idx val="-1"/>
                    <c:layout>
                      <c:manualLayout>
                        <c:x val="-3.889621693125013E-2"/>
                        <c:y val="-4.9529629331832435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5-7796-43F1-AE71-B12B11F2FE54}"/>
                      </c:ext>
                    </c:extLst>
                  </c15:dLbl>
                </c15:categoryFilterException>
                <c15:categoryFilterException>
                  <c15:sqref>'MTBF graph_GY86'!$K$12</c15:sqref>
                  <c15:dLbl>
                    <c:idx val="-1"/>
                    <c:layout>
                      <c:manualLayout>
                        <c:x val="-5.9406708729883011E-2"/>
                        <c:y val="-3.7653563278960141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6-7796-43F1-AE71-B12B11F2FE54}"/>
                      </c:ext>
                    </c:extLst>
                  </c15:dLbl>
                </c15:categoryFilterException>
                <c15:categoryFilterException>
                  <c15:sqref>'MTBF graph_GY86'!$K$13</c15:sqref>
                  <c15:dLbl>
                    <c:idx val="-1"/>
                    <c:layout>
                      <c:manualLayout>
                        <c:x val="-3.8090385685576218E-2"/>
                        <c:y val="-4.3961108767165399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7-7796-43F1-AE71-B12B11F2FE54}"/>
                      </c:ext>
                    </c:extLst>
                  </c15:dLbl>
                </c15:categoryFilterException>
                <c15:categoryFilterException>
                  <c15:sqref>'MTBF graph_GY86'!$K$15</c15:sqref>
                  <c15:dLbl>
                    <c:idx val="-1"/>
                    <c:layout>
                      <c:manualLayout>
                        <c:x val="-5.7236945895289312E-2"/>
                        <c:y val="-5.3464580783886072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8-7796-43F1-AE71-B12B11F2FE54}"/>
                      </c:ext>
                    </c:extLst>
                  </c15:dLbl>
                </c15:categoryFilterException>
                <c15:categoryFilterException>
                  <c15:sqref>'MTBF graph_GY86'!$K$16</c15:sqref>
                  <c15:dLbl>
                    <c:idx val="-1"/>
                    <c:layout>
                      <c:manualLayout>
                        <c:x val="-9.8872166817769877E-2"/>
                        <c:y val="1.611369844880079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9-7796-43F1-AE71-B12B11F2FE54}"/>
                      </c:ext>
                    </c:extLst>
                  </c15:dLbl>
                </c15:categoryFilterException>
              </c15:categoryFilterExceptions>
            </c:ext>
            <c:ext xmlns:c16="http://schemas.microsoft.com/office/drawing/2014/chart" uri="{C3380CC4-5D6E-409C-BE32-E72D297353CC}">
              <c16:uniqueId val="{00000003-7122-4A5D-8EB3-AF6464579A46}"/>
            </c:ext>
          </c:extLst>
        </c:ser>
        <c:dLbls>
          <c:showLegendKey val="0"/>
          <c:showVal val="0"/>
          <c:showCatName val="0"/>
          <c:showSerName val="0"/>
          <c:showPercent val="0"/>
          <c:showBubbleSize val="0"/>
        </c:dLbls>
        <c:marker val="1"/>
        <c:smooth val="0"/>
        <c:axId val="923793232"/>
        <c:axId val="923795392"/>
      </c:lineChart>
      <c:catAx>
        <c:axId val="92379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5392"/>
        <c:crosses val="autoZero"/>
        <c:auto val="1"/>
        <c:lblAlgn val="ctr"/>
        <c:lblOffset val="100"/>
        <c:noMultiLvlLbl val="0"/>
      </c:catAx>
      <c:valAx>
        <c:axId val="923795392"/>
        <c:scaling>
          <c:orientation val="minMax"/>
          <c:max val="12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MTBF [hrs]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3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'MTBF graph_vs_ROW'!$C$1</c:f>
          <c:strCache>
            <c:ptCount val="1"/>
            <c:pt idx="0">
              <c:v>MTBFp / MTBFu for Intel system</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'MTBF graph_vs_ROW'!$G$7</c:f>
              <c:strCache>
                <c:ptCount val="1"/>
                <c:pt idx="0">
                  <c:v>MTBFp 1wma</c:v>
                </c:pt>
              </c:strCache>
            </c:strRef>
          </c:tx>
          <c:spPr>
            <a:solidFill>
              <a:schemeClr val="accent1">
                <a:alpha val="40000"/>
              </a:schemeClr>
            </a:solidFill>
            <a:ln w="9525">
              <a:solidFill>
                <a:schemeClr val="accent1"/>
              </a:solidFill>
              <a:prstDash val="solid"/>
            </a:ln>
            <a:effectLst/>
          </c:spPr>
          <c:invertIfNegative val="0"/>
          <c:cat>
            <c:strRef>
              <c:extLst>
                <c:ext xmlns:c15="http://schemas.microsoft.com/office/drawing/2012/chart" uri="{02D57815-91ED-43cb-92C2-25804820EDAC}">
                  <c15:fullRef>
                    <c15:sqref>'MTBF graph_vs_ROW'!$B$8:$B$32</c15:sqref>
                  </c15:fullRef>
                </c:ext>
              </c:extLst>
              <c:f>'MTBF graph_vs_ROW'!$B$18:$B$32</c:f>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xmlns:c15="http://schemas.microsoft.com/office/drawing/2012/chart" uri="{02D57815-91ED-43cb-92C2-25804820EDAC}">
                  <c15:fullRef>
                    <c15:sqref>'MTBF graph_vs_ROW'!$G$8:$G$32</c15:sqref>
                  </c15:fullRef>
                </c:ext>
              </c:extLst>
              <c:f>'MTBF graph_vs_ROW'!$G$18:$G$32</c:f>
              <c:numCache>
                <c:formatCode>0</c:formatCode>
                <c:ptCount val="15"/>
                <c:pt idx="0" formatCode="0.0">
                  <c:v>0</c:v>
                </c:pt>
                <c:pt idx="1" formatCode="0.0">
                  <c:v>0</c:v>
                </c:pt>
                <c:pt idx="2" formatCode="0.0">
                  <c:v>0</c:v>
                </c:pt>
                <c:pt idx="3" formatCode="0.0">
                  <c:v>0</c:v>
                </c:pt>
                <c:pt idx="4">
                  <c:v>0</c:v>
                </c:pt>
                <c:pt idx="5">
                  <c:v>0</c:v>
                </c:pt>
                <c:pt idx="6">
                  <c:v>0</c:v>
                </c:pt>
                <c:pt idx="7">
                  <c:v>0</c:v>
                </c:pt>
                <c:pt idx="8">
                  <c:v>0</c:v>
                </c:pt>
                <c:pt idx="9">
                  <c:v>0</c:v>
                </c:pt>
                <c:pt idx="10" formatCode="0.0">
                  <c:v>0</c:v>
                </c:pt>
                <c:pt idx="11">
                  <c:v>0</c:v>
                </c:pt>
                <c:pt idx="12">
                  <c:v>0</c:v>
                </c:pt>
                <c:pt idx="13">
                  <c:v>0</c:v>
                </c:pt>
                <c:pt idx="14">
                  <c:v>0</c:v>
                </c:pt>
              </c:numCache>
            </c:numRef>
          </c:val>
          <c:extLst>
            <c:ext xmlns:c16="http://schemas.microsoft.com/office/drawing/2014/chart" uri="{C3380CC4-5D6E-409C-BE32-E72D297353CC}">
              <c16:uniqueId val="{00000000-58CB-45B4-B5A4-6A464DEB4557}"/>
            </c:ext>
          </c:extLst>
        </c:ser>
        <c:ser>
          <c:idx val="2"/>
          <c:order val="1"/>
          <c:tx>
            <c:strRef>
              <c:f>'MTBF graph_vs_ROW'!$J$7</c:f>
              <c:strCache>
                <c:ptCount val="1"/>
                <c:pt idx="0">
                  <c:v>MTBFu 1wma</c:v>
                </c:pt>
              </c:strCache>
            </c:strRef>
          </c:tx>
          <c:spPr>
            <a:solidFill>
              <a:schemeClr val="accent3">
                <a:alpha val="40000"/>
              </a:schemeClr>
            </a:solidFill>
            <a:ln>
              <a:solidFill>
                <a:schemeClr val="bg1">
                  <a:lumMod val="65000"/>
                </a:schemeClr>
              </a:solidFill>
              <a:prstDash val="solid"/>
            </a:ln>
            <a:effectLst/>
          </c:spPr>
          <c:invertIfNegative val="0"/>
          <c:cat>
            <c:strRef>
              <c:extLst>
                <c:ext xmlns:c15="http://schemas.microsoft.com/office/drawing/2012/chart" uri="{02D57815-91ED-43cb-92C2-25804820EDAC}">
                  <c15:fullRef>
                    <c15:sqref>'MTBF graph_vs_ROW'!$B$8:$B$32</c15:sqref>
                  </c15:fullRef>
                </c:ext>
              </c:extLst>
              <c:f>'MTBF graph_vs_ROW'!$B$18:$B$32</c:f>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xmlns:c15="http://schemas.microsoft.com/office/drawing/2012/chart" uri="{02D57815-91ED-43cb-92C2-25804820EDAC}">
                  <c15:fullRef>
                    <c15:sqref>'MTBF graph_vs_ROW'!$J$8:$J$32</c15:sqref>
                  </c15:fullRef>
                </c:ext>
              </c:extLst>
              <c:f>'MTBF graph_vs_ROW'!$J$18:$J$32</c:f>
              <c:numCache>
                <c:formatCode>0</c:formatCode>
                <c:ptCount val="15"/>
                <c:pt idx="0">
                  <c:v>0</c:v>
                </c:pt>
                <c:pt idx="1">
                  <c:v>0</c:v>
                </c:pt>
                <c:pt idx="2">
                  <c:v>0</c:v>
                </c:pt>
                <c:pt idx="3">
                  <c:v>0</c:v>
                </c:pt>
                <c:pt idx="4" formatCode="0.0">
                  <c:v>0</c:v>
                </c:pt>
                <c:pt idx="5" formatCode="0.0">
                  <c:v>0</c:v>
                </c:pt>
                <c:pt idx="6" formatCode="0.0">
                  <c:v>0</c:v>
                </c:pt>
                <c:pt idx="7" formatCode="0.0">
                  <c:v>0</c:v>
                </c:pt>
                <c:pt idx="8" formatCode="0.0">
                  <c:v>0</c:v>
                </c:pt>
                <c:pt idx="9" formatCode="0.0">
                  <c:v>0</c:v>
                </c:pt>
                <c:pt idx="10" formatCode="0.0">
                  <c:v>0</c:v>
                </c:pt>
                <c:pt idx="11" formatCode="0.0">
                  <c:v>0</c:v>
                </c:pt>
                <c:pt idx="12" formatCode="0.0">
                  <c:v>0</c:v>
                </c:pt>
                <c:pt idx="13" formatCode="0.0">
                  <c:v>0</c:v>
                </c:pt>
                <c:pt idx="14" formatCode="0.0">
                  <c:v>0</c:v>
                </c:pt>
              </c:numCache>
            </c:numRef>
          </c:val>
          <c:extLst>
            <c:ext xmlns:c16="http://schemas.microsoft.com/office/drawing/2014/chart" uri="{C3380CC4-5D6E-409C-BE32-E72D297353CC}">
              <c16:uniqueId val="{00000001-58CB-45B4-B5A4-6A464DEB4557}"/>
            </c:ext>
          </c:extLst>
        </c:ser>
        <c:dLbls>
          <c:showLegendKey val="0"/>
          <c:showVal val="0"/>
          <c:showCatName val="0"/>
          <c:showSerName val="0"/>
          <c:showPercent val="0"/>
          <c:showBubbleSize val="0"/>
        </c:dLbls>
        <c:gapWidth val="50"/>
        <c:axId val="923793232"/>
        <c:axId val="923795392"/>
      </c:barChart>
      <c:lineChart>
        <c:grouping val="standard"/>
        <c:varyColors val="0"/>
        <c:ser>
          <c:idx val="1"/>
          <c:order val="2"/>
          <c:tx>
            <c:strRef>
              <c:f>'MTBF graph_vs_ROW'!$H$7</c:f>
              <c:strCache>
                <c:ptCount val="1"/>
                <c:pt idx="0">
                  <c:v>MTBFp 4wma</c:v>
                </c:pt>
              </c:strCache>
            </c:strRef>
          </c:tx>
          <c:spPr>
            <a:ln w="28575" cap="rnd">
              <a:solidFill>
                <a:srgbClr val="002060"/>
              </a:solidFill>
              <a:round/>
            </a:ln>
            <a:effectLst/>
          </c:spPr>
          <c:marker>
            <c:symbol val="triangle"/>
            <c:size val="8"/>
            <c:spPr>
              <a:solidFill>
                <a:srgbClr val="002060"/>
              </a:solidFill>
              <a:ln w="9525">
                <a:solidFill>
                  <a:srgbClr val="002060"/>
                </a:solidFill>
              </a:ln>
              <a:effectLst/>
            </c:spPr>
          </c:marker>
          <c:dLbls>
            <c:dLbl>
              <c:idx val="0"/>
              <c:layout>
                <c:manualLayout>
                  <c:x val="-4.688102409959026E-2"/>
                  <c:y val="5.3506787836761618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58CB-45B4-B5A4-6A464DEB4557}"/>
                </c:ext>
              </c:extLst>
            </c:dLbl>
            <c:spPr>
              <a:solidFill>
                <a:sysClr val="window" lastClr="FFFFFF"/>
              </a:solidFill>
              <a:ln>
                <a:solidFill>
                  <a:srgbClr val="002060"/>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extLst>
                <c:ext xmlns:c15="http://schemas.microsoft.com/office/drawing/2012/chart" uri="{02D57815-91ED-43cb-92C2-25804820EDAC}">
                  <c15:fullRef>
                    <c15:sqref>'MTBF graph_vs_ROW'!$B$8:$B$32</c15:sqref>
                  </c15:fullRef>
                </c:ext>
              </c:extLst>
              <c:f>'MTBF graph_vs_ROW'!$B$18:$B$32</c:f>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xmlns:c15="http://schemas.microsoft.com/office/drawing/2012/chart" uri="{02D57815-91ED-43cb-92C2-25804820EDAC}">
                  <c15:fullRef>
                    <c15:sqref>'MTBF graph_vs_ROW'!$H$8:$H$32</c15:sqref>
                  </c15:fullRef>
                </c:ext>
              </c:extLst>
              <c:f>'MTBF graph_vs_ROW'!$H$18:$H$32</c:f>
              <c:numCache>
                <c:formatCode>0.0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smooth val="0"/>
          <c:extLst>
            <c:ext xmlns:c15="http://schemas.microsoft.com/office/drawing/2012/chart" uri="{02D57815-91ED-43cb-92C2-25804820EDAC}">
              <c15:categoryFilterExceptions>
                <c15:categoryFilterException>
                  <c15:sqref>'MTBF graph_vs_ROW'!$H$12</c15:sqref>
                  <c15:dLbl>
                    <c:idx val="-1"/>
                    <c:layout>
                      <c:manualLayout>
                        <c:x val="-3.7030727160750919E-2"/>
                        <c:y val="3.9682068195016407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0-03AF-418E-91F2-E5765BBAF002}"/>
                      </c:ext>
                    </c:extLst>
                  </c15:dLbl>
                </c15:categoryFilterException>
                <c15:categoryFilterException>
                  <c15:sqref>'MTBF graph_vs_ROW'!$H$13</c15:sqref>
                  <c15:dLbl>
                    <c:idx val="-1"/>
                    <c:layout>
                      <c:manualLayout>
                        <c:x val="-3.5930914678936422E-2"/>
                        <c:y val="4.6214218361842384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1-03AF-418E-91F2-E5765BBAF002}"/>
                      </c:ext>
                    </c:extLst>
                  </c15:dLbl>
                </c15:categoryFilterException>
                <c15:categoryFilterException>
                  <c15:sqref>'MTBF graph_vs_ROW'!$H$14</c15:sqref>
                  <c15:dLbl>
                    <c:idx val="-1"/>
                    <c:layout>
                      <c:manualLayout>
                        <c:x val="-3.5343415686672326E-2"/>
                        <c:y val="3.671274892221317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2-03AF-418E-91F2-E5765BBAF002}"/>
                      </c:ext>
                    </c:extLst>
                  </c15:dLbl>
                </c15:categoryFilterException>
                <c15:categoryFilterException>
                  <c15:sqref>'MTBF graph_vs_ROW'!$H$15</c15:sqref>
                  <c15:dLbl>
                    <c:idx val="-1"/>
                    <c:layout>
                      <c:manualLayout>
                        <c:x val="-3.1130926315619593E-2"/>
                        <c:y val="3.352618328222283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3-03AF-418E-91F2-E5765BBAF002}"/>
                      </c:ext>
                    </c:extLst>
                  </c15:dLbl>
                </c15:categoryFilterException>
                <c15:categoryFilterException>
                  <c15:sqref>'MTBF graph_vs_ROW'!$H$16</c15:sqref>
                  <c15:dLbl>
                    <c:idx val="-1"/>
                    <c:layout>
                      <c:manualLayout>
                        <c:x val="-3.5980166991069311E-2"/>
                        <c:y val="4.9342633103370434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4-03AF-418E-91F2-E5765BBAF002}"/>
                      </c:ext>
                    </c:extLst>
                  </c15:dLbl>
                </c15:categoryFilterException>
                <c15:categoryFilterException>
                  <c15:sqref>'MTBF graph_vs_ROW'!$H$17</c15:sqref>
                  <c15:dLbl>
                    <c:idx val="-1"/>
                    <c:layout>
                      <c:manualLayout>
                        <c:x val="-3.7814160788271448E-2"/>
                        <c:y val="6.9300552607662491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5-03AF-418E-91F2-E5765BBAF002}"/>
                      </c:ext>
                    </c:extLst>
                  </c15:dLbl>
                </c15:categoryFilterException>
              </c15:categoryFilterExceptions>
            </c:ext>
            <c:ext xmlns:c16="http://schemas.microsoft.com/office/drawing/2014/chart" uri="{C3380CC4-5D6E-409C-BE32-E72D297353CC}">
              <c16:uniqueId val="{00000007-58CB-45B4-B5A4-6A464DEB4557}"/>
            </c:ext>
          </c:extLst>
        </c:ser>
        <c:ser>
          <c:idx val="3"/>
          <c:order val="3"/>
          <c:tx>
            <c:strRef>
              <c:f>'MTBF graph_vs_ROW'!$K$7</c:f>
              <c:strCache>
                <c:ptCount val="1"/>
                <c:pt idx="0">
                  <c:v>MTBFu 4wma</c:v>
                </c:pt>
              </c:strCache>
            </c:strRef>
          </c:tx>
          <c:spPr>
            <a:ln w="28575" cap="rnd">
              <a:solidFill>
                <a:schemeClr val="bg1">
                  <a:lumMod val="65000"/>
                </a:schemeClr>
              </a:solidFill>
              <a:round/>
            </a:ln>
            <a:effectLst/>
          </c:spPr>
          <c:marker>
            <c:symbol val="diamond"/>
            <c:size val="8"/>
            <c:spPr>
              <a:solidFill>
                <a:schemeClr val="bg1">
                  <a:lumMod val="65000"/>
                  <a:alpha val="95000"/>
                </a:schemeClr>
              </a:solidFill>
              <a:ln w="9525">
                <a:solidFill>
                  <a:schemeClr val="bg1">
                    <a:lumMod val="65000"/>
                  </a:schemeClr>
                </a:solidFill>
              </a:ln>
              <a:effectLst/>
            </c:spPr>
          </c:marker>
          <c:dLbls>
            <c:dLbl>
              <c:idx val="0"/>
              <c:layout>
                <c:manualLayout>
                  <c:x val="-6.1621781190290985E-2"/>
                  <c:y val="-6.9300552607662491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58CB-45B4-B5A4-6A464DEB4557}"/>
                </c:ext>
              </c:extLst>
            </c:dLbl>
            <c:spPr>
              <a:solidFill>
                <a:sysClr val="window" lastClr="FFFFFF"/>
              </a:solidFill>
              <a:ln>
                <a:solidFill>
                  <a:sysClr val="window" lastClr="FFFFFF">
                    <a:lumMod val="6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lumMod val="65000"/>
                      </a:schemeClr>
                    </a:solidFill>
                    <a:latin typeface="+mn-lt"/>
                    <a:ea typeface="+mn-ea"/>
                    <a:cs typeface="+mn-cs"/>
                  </a:defRPr>
                </a:pPr>
                <a:endParaRPr lang="en-US"/>
              </a:p>
            </c:txPr>
            <c:dLblPos val="b"/>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extLst>
                <c:ext xmlns:c15="http://schemas.microsoft.com/office/drawing/2012/chart" uri="{02D57815-91ED-43cb-92C2-25804820EDAC}">
                  <c15:fullRef>
                    <c15:sqref>'MTBF graph_vs_ROW'!$B$8:$B$32</c15:sqref>
                  </c15:fullRef>
                </c:ext>
              </c:extLst>
              <c:f>'MTBF graph_vs_ROW'!$B$18:$B$32</c:f>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xmlns:c15="http://schemas.microsoft.com/office/drawing/2012/chart" uri="{02D57815-91ED-43cb-92C2-25804820EDAC}">
                  <c15:fullRef>
                    <c15:sqref>'MTBF graph_vs_ROW'!$K$8:$K$32</c15:sqref>
                  </c15:fullRef>
                </c:ext>
              </c:extLst>
              <c:f>'MTBF graph_vs_ROW'!$K$18:$K$32</c:f>
              <c:numCache>
                <c:formatCode>0.0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smooth val="0"/>
          <c:extLst>
            <c:ext xmlns:c15="http://schemas.microsoft.com/office/drawing/2012/chart" uri="{02D57815-91ED-43cb-92C2-25804820EDAC}">
              <c15:categoryFilterExceptions>
                <c15:categoryFilterException>
                  <c15:sqref>'MTBF graph_vs_ROW'!$K$12</c15:sqref>
                  <c15:dLbl>
                    <c:idx val="-1"/>
                    <c:layout>
                      <c:manualLayout>
                        <c:x val="-3.7030727160750919E-2"/>
                        <c:y val="-4.632941916023020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6-03AF-418E-91F2-E5765BBAF002}"/>
                      </c:ext>
                    </c:extLst>
                  </c15:dLbl>
                </c15:categoryFilterException>
                <c15:categoryFilterException>
                  <c15:sqref>'MTBF graph_vs_ROW'!$K$13</c15:sqref>
                  <c15:dLbl>
                    <c:idx val="-1"/>
                    <c:layout>
                      <c:manualLayout>
                        <c:x val="-3.889621693125013E-2"/>
                        <c:y val="-4.9529629331832435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7-03AF-418E-91F2-E5765BBAF002}"/>
                      </c:ext>
                    </c:extLst>
                  </c15:dLbl>
                </c15:categoryFilterException>
                <c15:categoryFilterException>
                  <c15:sqref>'MTBF graph_vs_ROW'!$K$14</c15:sqref>
                  <c15:dLbl>
                    <c:idx val="-1"/>
                    <c:layout>
                      <c:manualLayout>
                        <c:x val="-5.9406708729883011E-2"/>
                        <c:y val="-3.7653563278960141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8-03AF-418E-91F2-E5765BBAF002}"/>
                      </c:ext>
                    </c:extLst>
                  </c15:dLbl>
                </c15:categoryFilterException>
                <c15:categoryFilterException>
                  <c15:sqref>'MTBF graph_vs_ROW'!$K$15</c15:sqref>
                  <c15:dLbl>
                    <c:idx val="-1"/>
                    <c:layout>
                      <c:manualLayout>
                        <c:x val="-3.8090385685576218E-2"/>
                        <c:y val="-4.3961108767165399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9-03AF-418E-91F2-E5765BBAF002}"/>
                      </c:ext>
                    </c:extLst>
                  </c15:dLbl>
                </c15:categoryFilterException>
                <c15:categoryFilterException>
                  <c15:sqref>'MTBF graph_vs_ROW'!$K$16</c15:sqref>
                  <c15:dLbl>
                    <c:idx val="-1"/>
                    <c:layout>
                      <c:manualLayout>
                        <c:x val="-3.808646225983274E-2"/>
                        <c:y val="-5.9251314590754611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A-03AF-418E-91F2-E5765BBAF002}"/>
                      </c:ext>
                    </c:extLst>
                  </c15:dLbl>
                </c15:categoryFilterException>
                <c15:categoryFilterException>
                  <c15:sqref>'MTBF graph_vs_ROW'!$K$17</c15:sqref>
                  <c15:dLbl>
                    <c:idx val="-1"/>
                    <c:layout>
                      <c:manualLayout>
                        <c:x val="-4.4455135076719811E-2"/>
                        <c:y val="-5.6665540790941847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B-03AF-418E-91F2-E5765BBAF002}"/>
                      </c:ext>
                    </c:extLst>
                  </c15:dLbl>
                </c15:categoryFilterException>
              </c15:categoryFilterExceptions>
            </c:ext>
            <c:ext xmlns:c16="http://schemas.microsoft.com/office/drawing/2014/chart" uri="{C3380CC4-5D6E-409C-BE32-E72D297353CC}">
              <c16:uniqueId val="{0000000D-58CB-45B4-B5A4-6A464DEB4557}"/>
            </c:ext>
          </c:extLst>
        </c:ser>
        <c:dLbls>
          <c:showLegendKey val="0"/>
          <c:showVal val="0"/>
          <c:showCatName val="0"/>
          <c:showSerName val="0"/>
          <c:showPercent val="0"/>
          <c:showBubbleSize val="0"/>
        </c:dLbls>
        <c:marker val="1"/>
        <c:smooth val="0"/>
        <c:axId val="923793232"/>
        <c:axId val="923795392"/>
      </c:lineChart>
      <c:catAx>
        <c:axId val="92379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5392"/>
        <c:crosses val="autoZero"/>
        <c:auto val="1"/>
        <c:lblAlgn val="ctr"/>
        <c:lblOffset val="100"/>
        <c:noMultiLvlLbl val="0"/>
      </c:catAx>
      <c:valAx>
        <c:axId val="923795392"/>
        <c:scaling>
          <c:orientation val="minMax"/>
          <c:max val="120"/>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MTBF [hrs]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3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'MTBF graph_vs_ROW'!$R$1</c:f>
          <c:strCache>
            <c:ptCount val="1"/>
            <c:pt idx="0">
              <c:v>MTBFp / MTBFu for RoW systems</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'MTBF graph_vs_ROW'!$U$7</c:f>
              <c:strCache>
                <c:ptCount val="1"/>
                <c:pt idx="0">
                  <c:v>MTBFp 1wma</c:v>
                </c:pt>
              </c:strCache>
            </c:strRef>
          </c:tx>
          <c:spPr>
            <a:solidFill>
              <a:schemeClr val="accent1">
                <a:alpha val="40000"/>
              </a:schemeClr>
            </a:solidFill>
            <a:ln>
              <a:solidFill>
                <a:schemeClr val="accent1"/>
              </a:solidFill>
            </a:ln>
            <a:effectLst/>
          </c:spPr>
          <c:invertIfNegative val="0"/>
          <c:cat>
            <c:strRef>
              <c:extLst>
                <c:ext xmlns:c15="http://schemas.microsoft.com/office/drawing/2012/chart" uri="{02D57815-91ED-43cb-92C2-25804820EDAC}">
                  <c15:fullRef>
                    <c15:sqref>'MTBF graph_vs_ROW'!$P$8:$P$32</c15:sqref>
                  </c15:fullRef>
                </c:ext>
              </c:extLst>
              <c:f>'MTBF graph_vs_ROW'!$P$18:$P$32</c:f>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xmlns:c15="http://schemas.microsoft.com/office/drawing/2012/chart" uri="{02D57815-91ED-43cb-92C2-25804820EDAC}">
                  <c15:fullRef>
                    <c15:sqref>'MTBF graph_vs_ROW'!$U$8:$U$32</c15:sqref>
                  </c15:fullRef>
                </c:ext>
              </c:extLst>
              <c:f>'MTBF graph_vs_ROW'!$U$18:$U$32</c:f>
              <c:numCache>
                <c:formatCode>0</c:formatCode>
                <c:ptCount val="15"/>
                <c:pt idx="0">
                  <c:v>0</c:v>
                </c:pt>
                <c:pt idx="1">
                  <c:v>0</c:v>
                </c:pt>
                <c:pt idx="2">
                  <c:v>0</c:v>
                </c:pt>
                <c:pt idx="3">
                  <c:v>0</c:v>
                </c:pt>
                <c:pt idx="4">
                  <c:v>0</c:v>
                </c:pt>
                <c:pt idx="5">
                  <c:v>0</c:v>
                </c:pt>
                <c:pt idx="6">
                  <c:v>0</c:v>
                </c:pt>
                <c:pt idx="7">
                  <c:v>0</c:v>
                </c:pt>
                <c:pt idx="8">
                  <c:v>0</c:v>
                </c:pt>
                <c:pt idx="9">
                  <c:v>0</c:v>
                </c:pt>
                <c:pt idx="10" formatCode="0.0">
                  <c:v>0</c:v>
                </c:pt>
                <c:pt idx="11">
                  <c:v>0</c:v>
                </c:pt>
                <c:pt idx="12">
                  <c:v>0</c:v>
                </c:pt>
                <c:pt idx="13">
                  <c:v>0</c:v>
                </c:pt>
                <c:pt idx="14">
                  <c:v>0</c:v>
                </c:pt>
              </c:numCache>
            </c:numRef>
          </c:val>
          <c:extLst>
            <c:ext xmlns:c16="http://schemas.microsoft.com/office/drawing/2014/chart" uri="{C3380CC4-5D6E-409C-BE32-E72D297353CC}">
              <c16:uniqueId val="{00000000-58CB-45B4-B5A4-6A464DEB4557}"/>
            </c:ext>
          </c:extLst>
        </c:ser>
        <c:ser>
          <c:idx val="2"/>
          <c:order val="1"/>
          <c:tx>
            <c:strRef>
              <c:f>'MTBF graph_vs_ROW'!$X$7</c:f>
              <c:strCache>
                <c:ptCount val="1"/>
                <c:pt idx="0">
                  <c:v>MTBFu 1wma</c:v>
                </c:pt>
              </c:strCache>
            </c:strRef>
          </c:tx>
          <c:spPr>
            <a:solidFill>
              <a:schemeClr val="accent3">
                <a:alpha val="40000"/>
              </a:schemeClr>
            </a:solidFill>
            <a:ln>
              <a:solidFill>
                <a:schemeClr val="accent3"/>
              </a:solidFill>
            </a:ln>
            <a:effectLst/>
          </c:spPr>
          <c:invertIfNegative val="0"/>
          <c:cat>
            <c:strRef>
              <c:extLst>
                <c:ext xmlns:c15="http://schemas.microsoft.com/office/drawing/2012/chart" uri="{02D57815-91ED-43cb-92C2-25804820EDAC}">
                  <c15:fullRef>
                    <c15:sqref>'MTBF graph_vs_ROW'!$P$8:$P$32</c15:sqref>
                  </c15:fullRef>
                </c:ext>
              </c:extLst>
              <c:f>'MTBF graph_vs_ROW'!$P$18:$P$32</c:f>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xmlns:c15="http://schemas.microsoft.com/office/drawing/2012/chart" uri="{02D57815-91ED-43cb-92C2-25804820EDAC}">
                  <c15:fullRef>
                    <c15:sqref>'MTBF graph_vs_ROW'!$X$8:$X$32</c15:sqref>
                  </c15:fullRef>
                </c:ext>
              </c:extLst>
              <c:f>'MTBF graph_vs_ROW'!$X$18:$X$32</c:f>
              <c:numCache>
                <c:formatCode>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extLst>
            <c:ext xmlns:c16="http://schemas.microsoft.com/office/drawing/2014/chart" uri="{C3380CC4-5D6E-409C-BE32-E72D297353CC}">
              <c16:uniqueId val="{00000001-58CB-45B4-B5A4-6A464DEB4557}"/>
            </c:ext>
          </c:extLst>
        </c:ser>
        <c:dLbls>
          <c:showLegendKey val="0"/>
          <c:showVal val="0"/>
          <c:showCatName val="0"/>
          <c:showSerName val="0"/>
          <c:showPercent val="0"/>
          <c:showBubbleSize val="0"/>
        </c:dLbls>
        <c:gapWidth val="50"/>
        <c:axId val="923793232"/>
        <c:axId val="923795392"/>
      </c:barChart>
      <c:lineChart>
        <c:grouping val="standard"/>
        <c:varyColors val="0"/>
        <c:ser>
          <c:idx val="1"/>
          <c:order val="2"/>
          <c:tx>
            <c:strRef>
              <c:f>'MTBF graph_vs_ROW'!$V$7</c:f>
              <c:strCache>
                <c:ptCount val="1"/>
                <c:pt idx="0">
                  <c:v>MTBFp 4wma</c:v>
                </c:pt>
              </c:strCache>
            </c:strRef>
          </c:tx>
          <c:spPr>
            <a:ln w="28575" cap="rnd">
              <a:solidFill>
                <a:schemeClr val="tx2"/>
              </a:solidFill>
              <a:round/>
            </a:ln>
            <a:effectLst/>
          </c:spPr>
          <c:marker>
            <c:symbol val="triangle"/>
            <c:size val="8"/>
            <c:spPr>
              <a:solidFill>
                <a:srgbClr val="002060"/>
              </a:solidFill>
              <a:ln w="9525">
                <a:solidFill>
                  <a:srgbClr val="002060"/>
                </a:solidFill>
              </a:ln>
              <a:effectLst/>
            </c:spPr>
          </c:marker>
          <c:dLbls>
            <c:dLbl>
              <c:idx val="0"/>
              <c:layout>
                <c:manualLayout>
                  <c:x val="-2.8138124959545586E-2"/>
                  <c:y val="3.823878767988413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58CB-45B4-B5A4-6A464DEB4557}"/>
                </c:ext>
              </c:extLst>
            </c:dLbl>
            <c:dLbl>
              <c:idx val="1"/>
              <c:layout>
                <c:manualLayout>
                  <c:x val="-2.6128258891006621E-2"/>
                  <c:y val="-5.417161587983598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C5E-46BE-B0D5-3970E57146CD}"/>
                </c:ext>
              </c:extLst>
            </c:dLbl>
            <c:dLbl>
              <c:idx val="2"/>
              <c:layout>
                <c:manualLayout>
                  <c:x val="-3.0147991028084624E-2"/>
                  <c:y val="7.329100971977793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C5E-46BE-B0D5-3970E57146CD}"/>
                </c:ext>
              </c:extLst>
            </c:dLbl>
            <c:dLbl>
              <c:idx val="3"/>
              <c:layout>
                <c:manualLayout>
                  <c:x val="-1.8088794616850833E-2"/>
                  <c:y val="-4.7798484599855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C5E-46BE-B0D5-3970E57146CD}"/>
                </c:ext>
              </c:extLst>
            </c:dLbl>
            <c:dLbl>
              <c:idx val="7"/>
              <c:layout>
                <c:manualLayout>
                  <c:x val="-2.0098660685389652E-3"/>
                  <c:y val="-1.593282819995172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C1F-4567-B370-0EC2C3250A3F}"/>
                </c:ext>
              </c:extLst>
            </c:dLbl>
            <c:dLbl>
              <c:idx val="8"/>
              <c:layout>
                <c:manualLayout>
                  <c:x val="-4.0197321370779304E-3"/>
                  <c:y val="4.461191895986482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C1F-4567-B370-0EC2C3250A3F}"/>
                </c:ext>
              </c:extLst>
            </c:dLbl>
            <c:dLbl>
              <c:idx val="12"/>
              <c:layout>
                <c:manualLayout>
                  <c:x val="1.9440546980453019E-3"/>
                  <c:y val="-4.60298002829617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3D1B-463C-A55D-714F98BC7B62}"/>
                </c:ext>
              </c:extLst>
            </c:dLbl>
            <c:dLbl>
              <c:idx val="13"/>
              <c:layout>
                <c:manualLayout>
                  <c:x val="-1.9440546980454443E-3"/>
                  <c:y val="-4.602980028296159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3D1B-463C-A55D-714F98BC7B62}"/>
                </c:ext>
              </c:extLst>
            </c:dLbl>
            <c:spPr>
              <a:solidFill>
                <a:sysClr val="window" lastClr="FFFFFF"/>
              </a:solidFill>
              <a:ln>
                <a:solidFill>
                  <a:srgbClr val="44546A"/>
                </a:solid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tx2"/>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'MTBF graph_vs_ROW'!$B$8:$B$32</c15:sqref>
                  </c15:fullRef>
                </c:ext>
              </c:extLst>
              <c:f>'MTBF graph_vs_ROW'!$B$18:$B$32</c:f>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xmlns:c15="http://schemas.microsoft.com/office/drawing/2012/chart" uri="{02D57815-91ED-43cb-92C2-25804820EDAC}">
                  <c15:fullRef>
                    <c15:sqref>'MTBF graph_vs_ROW'!$V$8:$V$32</c15:sqref>
                  </c15:fullRef>
                </c:ext>
              </c:extLst>
              <c:f>'MTBF graph_vs_ROW'!$V$18:$V$32</c:f>
              <c:numCache>
                <c:formatCode>0</c:formatCode>
                <c:ptCount val="15"/>
                <c:pt idx="0">
                  <c:v>0</c:v>
                </c:pt>
                <c:pt idx="1">
                  <c:v>0</c:v>
                </c:pt>
                <c:pt idx="2">
                  <c:v>0</c:v>
                </c:pt>
                <c:pt idx="3">
                  <c:v>0</c:v>
                </c:pt>
                <c:pt idx="4">
                  <c:v>0</c:v>
                </c:pt>
                <c:pt idx="5">
                  <c:v>0</c:v>
                </c:pt>
                <c:pt idx="6">
                  <c:v>0</c:v>
                </c:pt>
                <c:pt idx="7">
                  <c:v>0</c:v>
                </c:pt>
                <c:pt idx="8">
                  <c:v>0</c:v>
                </c:pt>
                <c:pt idx="9">
                  <c:v>0</c:v>
                </c:pt>
                <c:pt idx="10" formatCode="0.0">
                  <c:v>0</c:v>
                </c:pt>
                <c:pt idx="11">
                  <c:v>0</c:v>
                </c:pt>
                <c:pt idx="12">
                  <c:v>0</c:v>
                </c:pt>
                <c:pt idx="13">
                  <c:v>0</c:v>
                </c:pt>
                <c:pt idx="14">
                  <c:v>0</c:v>
                </c:pt>
              </c:numCache>
            </c:numRef>
          </c:val>
          <c:smooth val="0"/>
          <c:extLst>
            <c:ext xmlns:c15="http://schemas.microsoft.com/office/drawing/2012/chart" uri="{02D57815-91ED-43cb-92C2-25804820EDAC}">
              <c15:categoryFilterExceptions>
                <c15:categoryFilterException>
                  <c15:sqref>'MTBF graph_vs_ROW'!$V$15</c15:sqref>
                  <c15:dLbl>
                    <c:idx val="-1"/>
                    <c:layout>
                      <c:manualLayout>
                        <c:x val="-1.0049330342694862E-2"/>
                        <c:y val="4.1425353319874486E-2"/>
                      </c:manualLayout>
                    </c:layout>
                    <c:showLegendKey val="0"/>
                    <c:showVal val="1"/>
                    <c:showCatName val="0"/>
                    <c:showSerName val="0"/>
                    <c:showPercent val="0"/>
                    <c:showBubbleSize val="0"/>
                    <c:extLst>
                      <c:ext uri="{CE6537A1-D6FC-4f65-9D91-7224C49458BB}"/>
                      <c:ext xmlns:c16="http://schemas.microsoft.com/office/drawing/2014/chart" uri="{C3380CC4-5D6E-409C-BE32-E72D297353CC}">
                        <c16:uniqueId val="{00000000-6A41-4DBE-B246-322ED223ED6E}"/>
                      </c:ext>
                    </c:extLst>
                  </c15:dLbl>
                </c15:categoryFilterException>
                <c15:categoryFilterException>
                  <c15:sqref>'MTBF graph_vs_ROW'!$V$16</c15:sqref>
                  <c15:dLbl>
                    <c:idx val="-1"/>
                    <c:layout>
                      <c:manualLayout>
                        <c:x val="-1.6078928548311756E-2"/>
                        <c:y val="4.7798484599855175E-2"/>
                      </c:manualLayout>
                    </c:layout>
                    <c:showLegendKey val="0"/>
                    <c:showVal val="1"/>
                    <c:showCatName val="0"/>
                    <c:showSerName val="0"/>
                    <c:showPercent val="0"/>
                    <c:showBubbleSize val="0"/>
                    <c:extLst>
                      <c:ext uri="{CE6537A1-D6FC-4f65-9D91-7224C49458BB}"/>
                      <c:ext xmlns:c16="http://schemas.microsoft.com/office/drawing/2014/chart" uri="{C3380CC4-5D6E-409C-BE32-E72D297353CC}">
                        <c16:uniqueId val="{00000001-6A41-4DBE-B246-322ED223ED6E}"/>
                      </c:ext>
                    </c:extLst>
                  </c15:dLbl>
                </c15:categoryFilterException>
                <c15:categoryFilterException>
                  <c15:sqref>'MTBF graph_vs_ROW'!$V$17</c15:sqref>
                  <c15:dLbl>
                    <c:idx val="-1"/>
                    <c:layout>
                      <c:manualLayout>
                        <c:x val="-2.4118392822467579E-2"/>
                        <c:y val="4.4611918959864716E-2"/>
                      </c:manualLayout>
                    </c:layout>
                    <c:showLegendKey val="0"/>
                    <c:showVal val="1"/>
                    <c:showCatName val="0"/>
                    <c:showSerName val="0"/>
                    <c:showPercent val="0"/>
                    <c:showBubbleSize val="0"/>
                    <c:extLst>
                      <c:ext uri="{CE6537A1-D6FC-4f65-9D91-7224C49458BB}"/>
                      <c:ext xmlns:c16="http://schemas.microsoft.com/office/drawing/2014/chart" uri="{C3380CC4-5D6E-409C-BE32-E72D297353CC}">
                        <c16:uniqueId val="{00000002-6A41-4DBE-B246-322ED223ED6E}"/>
                      </c:ext>
                    </c:extLst>
                  </c15:dLbl>
                </c15:categoryFilterException>
              </c15:categoryFilterExceptions>
            </c:ext>
            <c:ext xmlns:c16="http://schemas.microsoft.com/office/drawing/2014/chart" uri="{C3380CC4-5D6E-409C-BE32-E72D297353CC}">
              <c16:uniqueId val="{00000007-58CB-45B4-B5A4-6A464DEB4557}"/>
            </c:ext>
          </c:extLst>
        </c:ser>
        <c:ser>
          <c:idx val="3"/>
          <c:order val="3"/>
          <c:tx>
            <c:strRef>
              <c:f>'MTBF graph_vs_ROW'!$Y$7</c:f>
              <c:strCache>
                <c:ptCount val="1"/>
                <c:pt idx="0">
                  <c:v>MTBFu 4wma</c:v>
                </c:pt>
              </c:strCache>
            </c:strRef>
          </c:tx>
          <c:spPr>
            <a:ln w="28575" cap="rnd">
              <a:solidFill>
                <a:schemeClr val="accent3"/>
              </a:solidFill>
              <a:round/>
            </a:ln>
            <a:effectLst/>
          </c:spPr>
          <c:marker>
            <c:symbol val="diamond"/>
            <c:size val="8"/>
            <c:spPr>
              <a:solidFill>
                <a:schemeClr val="bg1">
                  <a:lumMod val="65000"/>
                  <a:alpha val="95000"/>
                </a:schemeClr>
              </a:solidFill>
              <a:ln w="9525">
                <a:solidFill>
                  <a:schemeClr val="bg1">
                    <a:lumMod val="65000"/>
                  </a:schemeClr>
                </a:solidFill>
              </a:ln>
              <a:effectLst/>
            </c:spPr>
          </c:marker>
          <c:dLbls>
            <c:dLbl>
              <c:idx val="0"/>
              <c:layout>
                <c:manualLayout>
                  <c:x val="-3.0147991028084551E-2"/>
                  <c:y val="-6.0544747159816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58CB-45B4-B5A4-6A464DEB4557}"/>
                </c:ext>
              </c:extLst>
            </c:dLbl>
            <c:dLbl>
              <c:idx val="1"/>
              <c:layout>
                <c:manualLayout>
                  <c:x val="-1.6078928548311722E-2"/>
                  <c:y val="5.098505023984552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C5E-46BE-B0D5-3970E57146CD}"/>
                </c:ext>
              </c:extLst>
            </c:dLbl>
            <c:dLbl>
              <c:idx val="2"/>
              <c:layout>
                <c:manualLayout>
                  <c:x val="-2.6128258891006544E-2"/>
                  <c:y val="-5.417161587983586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C5E-46BE-B0D5-3970E57146CD}"/>
                </c:ext>
              </c:extLst>
            </c:dLbl>
            <c:dLbl>
              <c:idx val="3"/>
              <c:layout>
                <c:manualLayout>
                  <c:x val="-2.4118392822467579E-2"/>
                  <c:y val="4.779848459985517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C5E-46BE-B0D5-3970E57146CD}"/>
                </c:ext>
              </c:extLst>
            </c:dLbl>
            <c:dLbl>
              <c:idx val="7"/>
              <c:layout>
                <c:manualLayout>
                  <c:x val="-4.0197321370779304E-3"/>
                  <c:y val="2.230595947993241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C1F-4567-B370-0EC2C3250A3F}"/>
                </c:ext>
              </c:extLst>
            </c:dLbl>
            <c:dLbl>
              <c:idx val="8"/>
              <c:layout>
                <c:manualLayout>
                  <c:x val="0"/>
                  <c:y val="-2.549252511992276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C1F-4567-B370-0EC2C3250A3F}"/>
                </c:ext>
              </c:extLst>
            </c:dLbl>
            <c:spPr>
              <a:solidFill>
                <a:sysClr val="window" lastClr="FFFFFF"/>
              </a:solidFill>
              <a:ln>
                <a:solidFill>
                  <a:srgbClr val="A5A5A5"/>
                </a:solid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accent3"/>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'MTBF graph_vs_ROW'!$B$8:$B$32</c15:sqref>
                  </c15:fullRef>
                </c:ext>
              </c:extLst>
              <c:f>'MTBF graph_vs_ROW'!$B$18:$B$32</c:f>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xmlns:c15="http://schemas.microsoft.com/office/drawing/2012/chart" uri="{02D57815-91ED-43cb-92C2-25804820EDAC}">
                  <c15:fullRef>
                    <c15:sqref>'MTBF graph_vs_ROW'!$Y$8:$Y$32</c15:sqref>
                  </c15:fullRef>
                </c:ext>
              </c:extLst>
              <c:f>'MTBF graph_vs_ROW'!$Y$18:$Y$32</c:f>
              <c:numCache>
                <c:formatCode>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smooth val="0"/>
          <c:extLst>
            <c:ext xmlns:c15="http://schemas.microsoft.com/office/drawing/2012/chart" uri="{02D57815-91ED-43cb-92C2-25804820EDAC}">
              <c15:categoryFilterExceptions>
                <c15:categoryFilterException>
                  <c15:sqref>'MTBF graph_vs_ROW'!$Y$15</c15:sqref>
                  <c15:dLbl>
                    <c:idx val="-1"/>
                    <c:layout>
                      <c:manualLayout>
                        <c:x val="-6.0295982056169321E-3"/>
                        <c:y val="-4.7798484599855175E-2"/>
                      </c:manualLayout>
                    </c:layout>
                    <c:showLegendKey val="0"/>
                    <c:showVal val="1"/>
                    <c:showCatName val="0"/>
                    <c:showSerName val="0"/>
                    <c:showPercent val="0"/>
                    <c:showBubbleSize val="0"/>
                    <c:extLst>
                      <c:ext uri="{CE6537A1-D6FC-4f65-9D91-7224C49458BB}"/>
                      <c:ext xmlns:c16="http://schemas.microsoft.com/office/drawing/2014/chart" uri="{C3380CC4-5D6E-409C-BE32-E72D297353CC}">
                        <c16:uniqueId val="{00000003-6A41-4DBE-B246-322ED223ED6E}"/>
                      </c:ext>
                    </c:extLst>
                  </c15:dLbl>
                </c15:categoryFilterException>
                <c15:categoryFilterException>
                  <c15:sqref>'MTBF graph_vs_ROW'!$Y$16</c15:sqref>
                  <c15:dLbl>
                    <c:idx val="-1"/>
                    <c:layout>
                      <c:manualLayout>
                        <c:x val="-1.6078928548311756E-2"/>
                        <c:y val="-4.7798484599855175E-2"/>
                      </c:manualLayout>
                    </c:layout>
                    <c:showLegendKey val="0"/>
                    <c:showVal val="1"/>
                    <c:showCatName val="0"/>
                    <c:showSerName val="0"/>
                    <c:showPercent val="0"/>
                    <c:showBubbleSize val="0"/>
                    <c:extLst>
                      <c:ext uri="{CE6537A1-D6FC-4f65-9D91-7224C49458BB}"/>
                      <c:ext xmlns:c16="http://schemas.microsoft.com/office/drawing/2014/chart" uri="{C3380CC4-5D6E-409C-BE32-E72D297353CC}">
                        <c16:uniqueId val="{00000004-6A41-4DBE-B246-322ED223ED6E}"/>
                      </c:ext>
                    </c:extLst>
                  </c15:dLbl>
                </c15:categoryFilterException>
                <c15:categoryFilterException>
                  <c15:sqref>'MTBF graph_vs_ROW'!$Y$17</c15:sqref>
                  <c15:dLbl>
                    <c:idx val="-1"/>
                    <c:layout>
                      <c:manualLayout>
                        <c:x val="-2.8138124959545509E-2"/>
                        <c:y val="-4.4611918959864827E-2"/>
                      </c:manualLayout>
                    </c:layout>
                    <c:showLegendKey val="0"/>
                    <c:showVal val="1"/>
                    <c:showCatName val="0"/>
                    <c:showSerName val="0"/>
                    <c:showPercent val="0"/>
                    <c:showBubbleSize val="0"/>
                    <c:extLst>
                      <c:ext uri="{CE6537A1-D6FC-4f65-9D91-7224C49458BB}"/>
                      <c:ext xmlns:c16="http://schemas.microsoft.com/office/drawing/2014/chart" uri="{C3380CC4-5D6E-409C-BE32-E72D297353CC}">
                        <c16:uniqueId val="{00000005-6A41-4DBE-B246-322ED223ED6E}"/>
                      </c:ext>
                    </c:extLst>
                  </c15:dLbl>
                </c15:categoryFilterException>
              </c15:categoryFilterExceptions>
            </c:ext>
            <c:ext xmlns:c16="http://schemas.microsoft.com/office/drawing/2014/chart" uri="{C3380CC4-5D6E-409C-BE32-E72D297353CC}">
              <c16:uniqueId val="{0000000D-58CB-45B4-B5A4-6A464DEB4557}"/>
            </c:ext>
          </c:extLst>
        </c:ser>
        <c:dLbls>
          <c:showLegendKey val="0"/>
          <c:showVal val="0"/>
          <c:showCatName val="0"/>
          <c:showSerName val="0"/>
          <c:showPercent val="0"/>
          <c:showBubbleSize val="0"/>
        </c:dLbls>
        <c:marker val="1"/>
        <c:smooth val="0"/>
        <c:axId val="923793232"/>
        <c:axId val="923795392"/>
      </c:lineChart>
      <c:catAx>
        <c:axId val="92379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5392"/>
        <c:crosses val="autoZero"/>
        <c:auto val="1"/>
        <c:lblAlgn val="ctr"/>
        <c:lblOffset val="100"/>
        <c:noMultiLvlLbl val="0"/>
      </c:catAx>
      <c:valAx>
        <c:axId val="923795392"/>
        <c:scaling>
          <c:orientation val="minMax"/>
          <c:max val="120"/>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MTBF [hrs]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3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'MTBF graph_vs_ROW'!$AC$1</c:f>
          <c:strCache>
            <c:ptCount val="1"/>
            <c:pt idx="0">
              <c:v>MTBF Intel vs RoW (wk2502)</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'MTBF graph_vs_ROW'!$AE$6</c:f>
              <c:strCache>
                <c:ptCount val="1"/>
                <c:pt idx="0">
                  <c:v>MTBFp Intel 1wma</c:v>
                </c:pt>
              </c:strCache>
            </c:strRef>
          </c:tx>
          <c:spPr>
            <a:solidFill>
              <a:schemeClr val="accent1">
                <a:alpha val="40000"/>
              </a:schemeClr>
            </a:solidFill>
            <a:ln>
              <a:noFill/>
            </a:ln>
            <a:effectLst/>
          </c:spPr>
          <c:invertIfNegative val="0"/>
          <c:cat>
            <c:strRef>
              <c:extLst>
                <c:ext xmlns:c15="http://schemas.microsoft.com/office/drawing/2012/chart" uri="{02D57815-91ED-43cb-92C2-25804820EDAC}">
                  <c15:fullRef>
                    <c15:sqref>'MTBF graph_vs_ROW'!$AD$8:$AD$32</c15:sqref>
                  </c15:fullRef>
                </c:ext>
              </c:extLst>
              <c:f>'MTBF graph_vs_ROW'!$AD$14:$AD$32</c:f>
              <c:strCache>
                <c:ptCount val="19"/>
                <c:pt idx="0">
                  <c:v>wk2436</c:v>
                </c:pt>
                <c:pt idx="1">
                  <c:v>wk2437</c:v>
                </c:pt>
                <c:pt idx="2">
                  <c:v>wk2438</c:v>
                </c:pt>
                <c:pt idx="3">
                  <c:v>wk2439</c:v>
                </c:pt>
                <c:pt idx="4">
                  <c:v>wk2440</c:v>
                </c:pt>
                <c:pt idx="5">
                  <c:v>wk2441</c:v>
                </c:pt>
                <c:pt idx="6">
                  <c:v>wk2442</c:v>
                </c:pt>
                <c:pt idx="7">
                  <c:v>wk2443</c:v>
                </c:pt>
                <c:pt idx="8">
                  <c:v>wk2444</c:v>
                </c:pt>
                <c:pt idx="9">
                  <c:v>wk2445</c:v>
                </c:pt>
                <c:pt idx="10">
                  <c:v>wk2446</c:v>
                </c:pt>
                <c:pt idx="11">
                  <c:v>wk2447</c:v>
                </c:pt>
                <c:pt idx="12">
                  <c:v>wk2448</c:v>
                </c:pt>
                <c:pt idx="13">
                  <c:v>wk2449</c:v>
                </c:pt>
                <c:pt idx="14">
                  <c:v>wk2450</c:v>
                </c:pt>
                <c:pt idx="15">
                  <c:v>wk2451</c:v>
                </c:pt>
                <c:pt idx="16">
                  <c:v>wk2452</c:v>
                </c:pt>
                <c:pt idx="17">
                  <c:v>wk2501</c:v>
                </c:pt>
                <c:pt idx="18">
                  <c:v>wk2502</c:v>
                </c:pt>
              </c:strCache>
            </c:strRef>
          </c:cat>
          <c:val>
            <c:numRef>
              <c:extLst>
                <c:ext xmlns:c15="http://schemas.microsoft.com/office/drawing/2012/chart" uri="{02D57815-91ED-43cb-92C2-25804820EDAC}">
                  <c15:fullRef>
                    <c15:sqref>'MTBF graph_vs_ROW'!$AE$8:$AE$32</c15:sqref>
                  </c15:fullRef>
                </c:ext>
              </c:extLst>
              <c:f>'MTBF graph_vs_ROW'!$AE$14:$AE$32</c:f>
              <c:numCache>
                <c:formatCode>0</c:formatCode>
                <c:ptCount val="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numCache>
            </c:numRef>
          </c:val>
          <c:extLst>
            <c:ext xmlns:c16="http://schemas.microsoft.com/office/drawing/2014/chart" uri="{C3380CC4-5D6E-409C-BE32-E72D297353CC}">
              <c16:uniqueId val="{00000000-58CB-45B4-B5A4-6A464DEB4557}"/>
            </c:ext>
          </c:extLst>
        </c:ser>
        <c:ser>
          <c:idx val="2"/>
          <c:order val="1"/>
          <c:tx>
            <c:strRef>
              <c:f>'MTBF graph_vs_ROW'!$AH$7</c:f>
              <c:strCache>
                <c:ptCount val="1"/>
                <c:pt idx="0">
                  <c:v>MTBFp RoW 1wma</c:v>
                </c:pt>
              </c:strCache>
            </c:strRef>
          </c:tx>
          <c:spPr>
            <a:solidFill>
              <a:schemeClr val="bg1">
                <a:lumMod val="65000"/>
                <a:alpha val="40000"/>
              </a:schemeClr>
            </a:solidFill>
            <a:ln>
              <a:solidFill>
                <a:schemeClr val="accent3"/>
              </a:solidFill>
            </a:ln>
            <a:effectLst/>
          </c:spPr>
          <c:invertIfNegative val="0"/>
          <c:cat>
            <c:strRef>
              <c:extLst>
                <c:ext xmlns:c15="http://schemas.microsoft.com/office/drawing/2012/chart" uri="{02D57815-91ED-43cb-92C2-25804820EDAC}">
                  <c15:fullRef>
                    <c15:sqref>'MTBF graph_vs_ROW'!$AD$8:$AD$32</c15:sqref>
                  </c15:fullRef>
                </c:ext>
              </c:extLst>
              <c:f>'MTBF graph_vs_ROW'!$AD$14:$AD$32</c:f>
              <c:strCache>
                <c:ptCount val="19"/>
                <c:pt idx="0">
                  <c:v>wk2436</c:v>
                </c:pt>
                <c:pt idx="1">
                  <c:v>wk2437</c:v>
                </c:pt>
                <c:pt idx="2">
                  <c:v>wk2438</c:v>
                </c:pt>
                <c:pt idx="3">
                  <c:v>wk2439</c:v>
                </c:pt>
                <c:pt idx="4">
                  <c:v>wk2440</c:v>
                </c:pt>
                <c:pt idx="5">
                  <c:v>wk2441</c:v>
                </c:pt>
                <c:pt idx="6">
                  <c:v>wk2442</c:v>
                </c:pt>
                <c:pt idx="7">
                  <c:v>wk2443</c:v>
                </c:pt>
                <c:pt idx="8">
                  <c:v>wk2444</c:v>
                </c:pt>
                <c:pt idx="9">
                  <c:v>wk2445</c:v>
                </c:pt>
                <c:pt idx="10">
                  <c:v>wk2446</c:v>
                </c:pt>
                <c:pt idx="11">
                  <c:v>wk2447</c:v>
                </c:pt>
                <c:pt idx="12">
                  <c:v>wk2448</c:v>
                </c:pt>
                <c:pt idx="13">
                  <c:v>wk2449</c:v>
                </c:pt>
                <c:pt idx="14">
                  <c:v>wk2450</c:v>
                </c:pt>
                <c:pt idx="15">
                  <c:v>wk2451</c:v>
                </c:pt>
                <c:pt idx="16">
                  <c:v>wk2452</c:v>
                </c:pt>
                <c:pt idx="17">
                  <c:v>wk2501</c:v>
                </c:pt>
                <c:pt idx="18">
                  <c:v>wk2502</c:v>
                </c:pt>
              </c:strCache>
            </c:strRef>
          </c:cat>
          <c:val>
            <c:numRef>
              <c:extLst>
                <c:ext xmlns:c15="http://schemas.microsoft.com/office/drawing/2012/chart" uri="{02D57815-91ED-43cb-92C2-25804820EDAC}">
                  <c15:fullRef>
                    <c15:sqref>'MTBF graph_vs_ROW'!$AH$8:$AH$32</c15:sqref>
                  </c15:fullRef>
                </c:ext>
              </c:extLst>
              <c:f>'MTBF graph_vs_ROW'!$AH$14:$AH$32</c:f>
              <c:numCache>
                <c:formatCode>0</c:formatCode>
                <c:ptCount val="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numCache>
            </c:numRef>
          </c:val>
          <c:extLst>
            <c:ext xmlns:c16="http://schemas.microsoft.com/office/drawing/2014/chart" uri="{C3380CC4-5D6E-409C-BE32-E72D297353CC}">
              <c16:uniqueId val="{00000001-58CB-45B4-B5A4-6A464DEB4557}"/>
            </c:ext>
          </c:extLst>
        </c:ser>
        <c:dLbls>
          <c:showLegendKey val="0"/>
          <c:showVal val="0"/>
          <c:showCatName val="0"/>
          <c:showSerName val="0"/>
          <c:showPercent val="0"/>
          <c:showBubbleSize val="0"/>
        </c:dLbls>
        <c:gapWidth val="50"/>
        <c:axId val="923793232"/>
        <c:axId val="923795392"/>
      </c:barChart>
      <c:lineChart>
        <c:grouping val="standard"/>
        <c:varyColors val="0"/>
        <c:ser>
          <c:idx val="1"/>
          <c:order val="2"/>
          <c:tx>
            <c:strRef>
              <c:f>'MTBF graph_vs_ROW'!$AF$6</c:f>
              <c:strCache>
                <c:ptCount val="1"/>
                <c:pt idx="0">
                  <c:v>MTBFp Intel 4wma</c:v>
                </c:pt>
              </c:strCache>
            </c:strRef>
          </c:tx>
          <c:spPr>
            <a:ln w="28575" cap="rnd">
              <a:solidFill>
                <a:schemeClr val="tx2"/>
              </a:solidFill>
              <a:round/>
            </a:ln>
            <a:effectLst/>
          </c:spPr>
          <c:marker>
            <c:symbol val="triangle"/>
            <c:size val="8"/>
            <c:spPr>
              <a:solidFill>
                <a:srgbClr val="002060"/>
              </a:solidFill>
              <a:ln w="9525">
                <a:solidFill>
                  <a:srgbClr val="002060"/>
                </a:solidFill>
              </a:ln>
              <a:effectLst/>
            </c:spPr>
          </c:marker>
          <c:dLbls>
            <c:dLbl>
              <c:idx val="0"/>
              <c:layout>
                <c:manualLayout>
                  <c:x val="-1.8088794616850687E-2"/>
                  <c:y val="-4.779848459985529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179-4D40-A5DF-0EF837CDC189}"/>
                </c:ext>
              </c:extLst>
            </c:dLbl>
            <c:dLbl>
              <c:idx val="1"/>
              <c:layout>
                <c:manualLayout>
                  <c:x val="-8.0394642741558608E-3"/>
                  <c:y val="3.82387876798840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8CB-45B4-B5A4-6A464DEB4557}"/>
                </c:ext>
              </c:extLst>
            </c:dLbl>
            <c:dLbl>
              <c:idx val="2"/>
              <c:layout>
                <c:manualLayout>
                  <c:x val="0"/>
                  <c:y val="3.82387876798840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8CB-45B4-B5A4-6A464DEB4557}"/>
                </c:ext>
              </c:extLst>
            </c:dLbl>
            <c:dLbl>
              <c:idx val="3"/>
              <c:layout>
                <c:manualLayout>
                  <c:x val="-3.0147991028084551E-2"/>
                  <c:y val="-7.010444407978759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58CB-45B4-B5A4-6A464DEB4557}"/>
                </c:ext>
              </c:extLst>
            </c:dLbl>
            <c:dLbl>
              <c:idx val="4"/>
              <c:layout>
                <c:manualLayout>
                  <c:x val="-2.8138124959545586E-2"/>
                  <c:y val="-5.735818151982621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58CB-45B4-B5A4-6A464DEB4557}"/>
                </c:ext>
              </c:extLst>
            </c:dLbl>
            <c:dLbl>
              <c:idx val="5"/>
              <c:layout>
                <c:manualLayout>
                  <c:x val="-2.4118392822467579E-2"/>
                  <c:y val="-6.0544747159816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C5E-46BE-B0D5-3970E57146CD}"/>
                </c:ext>
              </c:extLst>
            </c:dLbl>
            <c:dLbl>
              <c:idx val="6"/>
              <c:layout>
                <c:manualLayout>
                  <c:x val="-2.4118392822467579E-2"/>
                  <c:y val="-7.010444407978759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C5E-46BE-B0D5-3970E57146CD}"/>
                </c:ext>
              </c:extLst>
            </c:dLbl>
            <c:dLbl>
              <c:idx val="7"/>
              <c:layout>
                <c:manualLayout>
                  <c:x val="-2.6128258891006693E-2"/>
                  <c:y val="5.098505023984540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C5E-46BE-B0D5-3970E57146CD}"/>
                </c:ext>
              </c:extLst>
            </c:dLbl>
            <c:spPr>
              <a:solidFill>
                <a:sysClr val="window" lastClr="FFFFFF"/>
              </a:solidFill>
              <a:ln>
                <a:solidFill>
                  <a:srgbClr val="44546A"/>
                </a:solid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tx2"/>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extLst>
                <c:ext xmlns:c15="http://schemas.microsoft.com/office/drawing/2012/chart" uri="{02D57815-91ED-43cb-92C2-25804820EDAC}">
                  <c15:fullRef>
                    <c15:sqref>'MTBF graph_vs_ROW'!$B$8:$B$32</c15:sqref>
                  </c15:fullRef>
                </c:ext>
              </c:extLst>
              <c:f>'MTBF graph_vs_ROW'!$B$14:$B$32</c:f>
              <c:strCache>
                <c:ptCount val="19"/>
                <c:pt idx="0">
                  <c:v>wk2436</c:v>
                </c:pt>
                <c:pt idx="1">
                  <c:v>wk2437</c:v>
                </c:pt>
                <c:pt idx="2">
                  <c:v>wk2438</c:v>
                </c:pt>
                <c:pt idx="3">
                  <c:v>wk2439</c:v>
                </c:pt>
                <c:pt idx="4">
                  <c:v>wk2440</c:v>
                </c:pt>
                <c:pt idx="5">
                  <c:v>wk2441</c:v>
                </c:pt>
                <c:pt idx="6">
                  <c:v>wk2442</c:v>
                </c:pt>
                <c:pt idx="7">
                  <c:v>wk2443</c:v>
                </c:pt>
                <c:pt idx="8">
                  <c:v>wk2444</c:v>
                </c:pt>
                <c:pt idx="9">
                  <c:v>wk2445</c:v>
                </c:pt>
                <c:pt idx="10">
                  <c:v>wk2446</c:v>
                </c:pt>
                <c:pt idx="11">
                  <c:v>wk2447</c:v>
                </c:pt>
                <c:pt idx="12">
                  <c:v>wk2448</c:v>
                </c:pt>
                <c:pt idx="13">
                  <c:v>wk2449</c:v>
                </c:pt>
                <c:pt idx="14">
                  <c:v>wk2450</c:v>
                </c:pt>
                <c:pt idx="15">
                  <c:v>wk2451</c:v>
                </c:pt>
                <c:pt idx="16">
                  <c:v>wk2452</c:v>
                </c:pt>
                <c:pt idx="17">
                  <c:v>wk2501</c:v>
                </c:pt>
                <c:pt idx="18">
                  <c:v>wk2502</c:v>
                </c:pt>
              </c:strCache>
            </c:strRef>
          </c:cat>
          <c:val>
            <c:numRef>
              <c:extLst>
                <c:ext xmlns:c15="http://schemas.microsoft.com/office/drawing/2012/chart" uri="{02D57815-91ED-43cb-92C2-25804820EDAC}">
                  <c15:fullRef>
                    <c15:sqref>'MTBF graph_vs_ROW'!$AF$8:$AF$32</c15:sqref>
                  </c15:fullRef>
                </c:ext>
              </c:extLst>
              <c:f>'MTBF graph_vs_ROW'!$AF$14:$AF$32</c:f>
              <c:numCache>
                <c:formatCode>0</c:formatCode>
                <c:ptCount val="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numCache>
            </c:numRef>
          </c:val>
          <c:smooth val="0"/>
          <c:extLst>
            <c:ext xmlns:c16="http://schemas.microsoft.com/office/drawing/2014/chart" uri="{C3380CC4-5D6E-409C-BE32-E72D297353CC}">
              <c16:uniqueId val="{00000007-58CB-45B4-B5A4-6A464DEB4557}"/>
            </c:ext>
          </c:extLst>
        </c:ser>
        <c:ser>
          <c:idx val="3"/>
          <c:order val="3"/>
          <c:tx>
            <c:strRef>
              <c:f>'MTBF graph_vs_ROW'!$AI$7</c:f>
              <c:strCache>
                <c:ptCount val="1"/>
                <c:pt idx="0">
                  <c:v>MTBFp RoW 4wma</c:v>
                </c:pt>
              </c:strCache>
            </c:strRef>
          </c:tx>
          <c:spPr>
            <a:ln w="28575" cap="rnd">
              <a:solidFill>
                <a:schemeClr val="accent3"/>
              </a:solidFill>
              <a:round/>
            </a:ln>
            <a:effectLst/>
          </c:spPr>
          <c:marker>
            <c:symbol val="diamond"/>
            <c:size val="8"/>
            <c:spPr>
              <a:solidFill>
                <a:schemeClr val="bg1">
                  <a:lumMod val="65000"/>
                  <a:alpha val="95000"/>
                </a:schemeClr>
              </a:solidFill>
              <a:ln w="9525">
                <a:solidFill>
                  <a:schemeClr val="bg1">
                    <a:lumMod val="65000"/>
                  </a:schemeClr>
                </a:solidFill>
              </a:ln>
              <a:effectLst/>
            </c:spPr>
          </c:marker>
          <c:dLbls>
            <c:dLbl>
              <c:idx val="0"/>
              <c:layout>
                <c:manualLayout>
                  <c:x val="6.0295982056168948E-3"/>
                  <c:y val="-1.1683939039437119E-16"/>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179-4D40-A5DF-0EF837CDC189}"/>
                </c:ext>
              </c:extLst>
            </c:dLbl>
            <c:dLbl>
              <c:idx val="1"/>
              <c:layout>
                <c:manualLayout>
                  <c:x val="-1.205919641123379E-2"/>
                  <c:y val="-4.142535331987448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58CB-45B4-B5A4-6A464DEB4557}"/>
                </c:ext>
              </c:extLst>
            </c:dLbl>
            <c:dLbl>
              <c:idx val="2"/>
              <c:layout>
                <c:manualLayout>
                  <c:x val="-8.0394642741558608E-3"/>
                  <c:y val="-4.142535331987448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58CB-45B4-B5A4-6A464DEB4557}"/>
                </c:ext>
              </c:extLst>
            </c:dLbl>
            <c:dLbl>
              <c:idx val="3"/>
              <c:layout>
                <c:manualLayout>
                  <c:x val="-8.0394642741558608E-3"/>
                  <c:y val="3.505222203989379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58CB-45B4-B5A4-6A464DEB4557}"/>
                </c:ext>
              </c:extLst>
            </c:dLbl>
            <c:dLbl>
              <c:idx val="4"/>
              <c:layout>
                <c:manualLayout>
                  <c:x val="-6.0295982056169685E-3"/>
                  <c:y val="3.823878767988413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58CB-45B4-B5A4-6A464DEB4557}"/>
                </c:ext>
              </c:extLst>
            </c:dLbl>
            <c:dLbl>
              <c:idx val="5"/>
              <c:layout>
                <c:manualLayout>
                  <c:x val="-1.0049330342694826E-2"/>
                  <c:y val="3.505222203989379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C5E-46BE-B0D5-3970E57146CD}"/>
                </c:ext>
              </c:extLst>
            </c:dLbl>
            <c:dLbl>
              <c:idx val="6"/>
              <c:layout>
                <c:manualLayout>
                  <c:x val="-1.4069062479772755E-2"/>
                  <c:y val="5.417161587983580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C5E-46BE-B0D5-3970E57146CD}"/>
                </c:ext>
              </c:extLst>
            </c:dLbl>
            <c:dLbl>
              <c:idx val="7"/>
              <c:layout>
                <c:manualLayout>
                  <c:x val="-4.0197321370780779E-3"/>
                  <c:y val="-4.779848459985517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C5E-46BE-B0D5-3970E57146CD}"/>
                </c:ext>
              </c:extLst>
            </c:dLbl>
            <c:spPr>
              <a:solidFill>
                <a:sysClr val="window" lastClr="FFFFFF"/>
              </a:solidFill>
              <a:ln>
                <a:solidFill>
                  <a:srgbClr val="A5A5A5"/>
                </a:solid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accent3"/>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extLst>
                <c:ext xmlns:c15="http://schemas.microsoft.com/office/drawing/2012/chart" uri="{02D57815-91ED-43cb-92C2-25804820EDAC}">
                  <c15:fullRef>
                    <c15:sqref>'MTBF graph_vs_ROW'!$B$8:$B$32</c15:sqref>
                  </c15:fullRef>
                </c:ext>
              </c:extLst>
              <c:f>'MTBF graph_vs_ROW'!$B$14:$B$32</c:f>
              <c:strCache>
                <c:ptCount val="19"/>
                <c:pt idx="0">
                  <c:v>wk2436</c:v>
                </c:pt>
                <c:pt idx="1">
                  <c:v>wk2437</c:v>
                </c:pt>
                <c:pt idx="2">
                  <c:v>wk2438</c:v>
                </c:pt>
                <c:pt idx="3">
                  <c:v>wk2439</c:v>
                </c:pt>
                <c:pt idx="4">
                  <c:v>wk2440</c:v>
                </c:pt>
                <c:pt idx="5">
                  <c:v>wk2441</c:v>
                </c:pt>
                <c:pt idx="6">
                  <c:v>wk2442</c:v>
                </c:pt>
                <c:pt idx="7">
                  <c:v>wk2443</c:v>
                </c:pt>
                <c:pt idx="8">
                  <c:v>wk2444</c:v>
                </c:pt>
                <c:pt idx="9">
                  <c:v>wk2445</c:v>
                </c:pt>
                <c:pt idx="10">
                  <c:v>wk2446</c:v>
                </c:pt>
                <c:pt idx="11">
                  <c:v>wk2447</c:v>
                </c:pt>
                <c:pt idx="12">
                  <c:v>wk2448</c:v>
                </c:pt>
                <c:pt idx="13">
                  <c:v>wk2449</c:v>
                </c:pt>
                <c:pt idx="14">
                  <c:v>wk2450</c:v>
                </c:pt>
                <c:pt idx="15">
                  <c:v>wk2451</c:v>
                </c:pt>
                <c:pt idx="16">
                  <c:v>wk2452</c:v>
                </c:pt>
                <c:pt idx="17">
                  <c:v>wk2501</c:v>
                </c:pt>
                <c:pt idx="18">
                  <c:v>wk2502</c:v>
                </c:pt>
              </c:strCache>
            </c:strRef>
          </c:cat>
          <c:val>
            <c:numRef>
              <c:extLst>
                <c:ext xmlns:c15="http://schemas.microsoft.com/office/drawing/2012/chart" uri="{02D57815-91ED-43cb-92C2-25804820EDAC}">
                  <c15:fullRef>
                    <c15:sqref>'MTBF graph_vs_ROW'!$AI$8:$AI$32</c15:sqref>
                  </c15:fullRef>
                </c:ext>
              </c:extLst>
              <c:f>'MTBF graph_vs_ROW'!$AI$14:$AI$32</c:f>
              <c:numCache>
                <c:formatCode>0</c:formatCode>
                <c:ptCount val="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numCache>
            </c:numRef>
          </c:val>
          <c:smooth val="0"/>
          <c:extLst>
            <c:ext xmlns:c16="http://schemas.microsoft.com/office/drawing/2014/chart" uri="{C3380CC4-5D6E-409C-BE32-E72D297353CC}">
              <c16:uniqueId val="{0000000D-58CB-45B4-B5A4-6A464DEB4557}"/>
            </c:ext>
          </c:extLst>
        </c:ser>
        <c:dLbls>
          <c:showLegendKey val="0"/>
          <c:showVal val="0"/>
          <c:showCatName val="0"/>
          <c:showSerName val="0"/>
          <c:showPercent val="0"/>
          <c:showBubbleSize val="0"/>
        </c:dLbls>
        <c:marker val="1"/>
        <c:smooth val="0"/>
        <c:axId val="923793232"/>
        <c:axId val="923795392"/>
      </c:lineChart>
      <c:catAx>
        <c:axId val="92379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5392"/>
        <c:crosses val="autoZero"/>
        <c:auto val="1"/>
        <c:lblAlgn val="ctr"/>
        <c:lblOffset val="100"/>
        <c:noMultiLvlLbl val="0"/>
      </c:catAx>
      <c:valAx>
        <c:axId val="92379539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MTBF [hrs]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3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MTBFp</a:t>
            </a:r>
            <a:r>
              <a:rPr lang="en-US" baseline="0"/>
              <a:t> / MTBFu for Intel EZ60</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'MTBF graph_CR51'!$G$5</c:f>
              <c:strCache>
                <c:ptCount val="1"/>
                <c:pt idx="0">
                  <c:v>MTBFp 1wma</c:v>
                </c:pt>
              </c:strCache>
            </c:strRef>
          </c:tx>
          <c:spPr>
            <a:solidFill>
              <a:schemeClr val="accent1">
                <a:alpha val="40000"/>
              </a:schemeClr>
            </a:solidFill>
            <a:ln w="9525">
              <a:solidFill>
                <a:schemeClr val="accent1"/>
              </a:solidFill>
              <a:prstDash val="solid"/>
            </a:ln>
            <a:effectLst/>
          </c:spPr>
          <c:invertIfNegative val="0"/>
          <c:cat>
            <c:strRef>
              <c:extLst>
                <c:ext xmlns:c15="http://schemas.microsoft.com/office/drawing/2012/chart" uri="{02D57815-91ED-43cb-92C2-25804820EDAC}">
                  <c15:fullRef>
                    <c15:sqref>'MTBF graph_CR51'!$B$6:$B$30</c15:sqref>
                  </c15:fullRef>
                </c:ext>
              </c:extLst>
              <c:f>'MTBF graph_CR51'!$B$23:$B$30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graph_CR51'!$G$6:$G$30</c15:sqref>
                  </c15:fullRef>
                </c:ext>
              </c:extLst>
              <c:f>'MTBF graph_CR51'!$G$23:$G$30</c:f>
              <c:numCache>
                <c:formatCode>0.0</c:formatCode>
                <c:ptCount val="8"/>
                <c:pt idx="0">
                  <c:v>0</c:v>
                </c:pt>
                <c:pt idx="1">
                  <c:v>0</c:v>
                </c:pt>
                <c:pt idx="2">
                  <c:v>0</c:v>
                </c:pt>
                <c:pt idx="3" formatCode="0">
                  <c:v>0</c:v>
                </c:pt>
                <c:pt idx="4" formatCode="0">
                  <c:v>0</c:v>
                </c:pt>
                <c:pt idx="5" formatCode="0">
                  <c:v>0</c:v>
                </c:pt>
                <c:pt idx="6" formatCode="0">
                  <c:v>0</c:v>
                </c:pt>
                <c:pt idx="7" formatCode="0">
                  <c:v>0</c:v>
                </c:pt>
              </c:numCache>
            </c:numRef>
          </c:val>
          <c:extLst>
            <c:ext xmlns:c16="http://schemas.microsoft.com/office/drawing/2014/chart" uri="{C3380CC4-5D6E-409C-BE32-E72D297353CC}">
              <c16:uniqueId val="{00000004-A78A-424A-B219-74D5C67629DB}"/>
            </c:ext>
          </c:extLst>
        </c:ser>
        <c:ser>
          <c:idx val="2"/>
          <c:order val="1"/>
          <c:tx>
            <c:strRef>
              <c:f>'MTBF graph_CR51'!$J$5</c:f>
              <c:strCache>
                <c:ptCount val="1"/>
                <c:pt idx="0">
                  <c:v>MTBFu 1wma</c:v>
                </c:pt>
              </c:strCache>
            </c:strRef>
          </c:tx>
          <c:spPr>
            <a:solidFill>
              <a:schemeClr val="accent3">
                <a:alpha val="40000"/>
              </a:schemeClr>
            </a:solidFill>
            <a:ln>
              <a:solidFill>
                <a:schemeClr val="bg1">
                  <a:lumMod val="65000"/>
                </a:schemeClr>
              </a:solidFill>
              <a:prstDash val="solid"/>
            </a:ln>
            <a:effectLst/>
          </c:spPr>
          <c:invertIfNegative val="0"/>
          <c:cat>
            <c:strRef>
              <c:extLst>
                <c:ext xmlns:c15="http://schemas.microsoft.com/office/drawing/2012/chart" uri="{02D57815-91ED-43cb-92C2-25804820EDAC}">
                  <c15:fullRef>
                    <c15:sqref>'MTBF graph_CR51'!$B$6:$B$30</c15:sqref>
                  </c15:fullRef>
                </c:ext>
              </c:extLst>
              <c:f>'MTBF graph_CR51'!$B$23:$B$30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graph_CR51'!$J$6:$J$30</c15:sqref>
                  </c15:fullRef>
                </c:ext>
              </c:extLst>
              <c:f>'MTBF graph_CR51'!$J$23:$J$30</c:f>
              <c:numCache>
                <c:formatCode>0.0</c:formatCode>
                <c:ptCount val="8"/>
                <c:pt idx="0">
                  <c:v>0</c:v>
                </c:pt>
                <c:pt idx="1">
                  <c:v>0</c:v>
                </c:pt>
                <c:pt idx="2">
                  <c:v>0</c:v>
                </c:pt>
                <c:pt idx="3">
                  <c:v>0</c:v>
                </c:pt>
                <c:pt idx="4">
                  <c:v>0</c:v>
                </c:pt>
                <c:pt idx="5">
                  <c:v>0</c:v>
                </c:pt>
                <c:pt idx="6">
                  <c:v>0</c:v>
                </c:pt>
                <c:pt idx="7">
                  <c:v>0</c:v>
                </c:pt>
              </c:numCache>
            </c:numRef>
          </c:val>
          <c:extLst>
            <c:ext xmlns:c16="http://schemas.microsoft.com/office/drawing/2014/chart" uri="{C3380CC4-5D6E-409C-BE32-E72D297353CC}">
              <c16:uniqueId val="{00000006-A78A-424A-B219-74D5C67629DB}"/>
            </c:ext>
          </c:extLst>
        </c:ser>
        <c:dLbls>
          <c:showLegendKey val="0"/>
          <c:showVal val="0"/>
          <c:showCatName val="0"/>
          <c:showSerName val="0"/>
          <c:showPercent val="0"/>
          <c:showBubbleSize val="0"/>
        </c:dLbls>
        <c:gapWidth val="50"/>
        <c:axId val="923793232"/>
        <c:axId val="923795392"/>
      </c:barChart>
      <c:lineChart>
        <c:grouping val="standard"/>
        <c:varyColors val="0"/>
        <c:ser>
          <c:idx val="1"/>
          <c:order val="2"/>
          <c:tx>
            <c:strRef>
              <c:f>'MTBF graph_CR51'!$H$5</c:f>
              <c:strCache>
                <c:ptCount val="1"/>
                <c:pt idx="0">
                  <c:v>MTBFp 4wma</c:v>
                </c:pt>
              </c:strCache>
            </c:strRef>
          </c:tx>
          <c:spPr>
            <a:ln w="28575" cap="rnd">
              <a:solidFill>
                <a:srgbClr val="002060"/>
              </a:solidFill>
              <a:round/>
            </a:ln>
            <a:effectLst/>
          </c:spPr>
          <c:marker>
            <c:symbol val="triangle"/>
            <c:size val="8"/>
            <c:spPr>
              <a:solidFill>
                <a:srgbClr val="002060"/>
              </a:solidFill>
              <a:ln w="9525">
                <a:solidFill>
                  <a:srgbClr val="002060"/>
                </a:solidFill>
              </a:ln>
              <a:effectLst/>
            </c:spPr>
          </c:marker>
          <c:dLbls>
            <c:spPr>
              <a:solidFill>
                <a:sysClr val="window" lastClr="FFFFFF"/>
              </a:solidFill>
              <a:ln>
                <a:solidFill>
                  <a:srgbClr val="002060"/>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extLst>
                <c:ext xmlns:c15="http://schemas.microsoft.com/office/drawing/2012/chart" uri="{02D57815-91ED-43cb-92C2-25804820EDAC}">
                  <c15:fullRef>
                    <c15:sqref>'MTBF graph_CR51'!$B$6:$B$30</c15:sqref>
                  </c15:fullRef>
                </c:ext>
              </c:extLst>
              <c:f>'MTBF graph_CR51'!$B$23:$B$30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graph_CR51'!$H$6:$H$30</c15:sqref>
                  </c15:fullRef>
                </c:ext>
              </c:extLst>
              <c:f>'MTBF graph_CR51'!$H$23:$H$30</c:f>
              <c:numCache>
                <c:formatCode>0.0</c:formatCode>
                <c:ptCount val="8"/>
                <c:pt idx="0">
                  <c:v>0</c:v>
                </c:pt>
                <c:pt idx="1">
                  <c:v>0</c:v>
                </c:pt>
                <c:pt idx="2">
                  <c:v>0</c:v>
                </c:pt>
                <c:pt idx="3">
                  <c:v>0</c:v>
                </c:pt>
                <c:pt idx="4">
                  <c:v>0</c:v>
                </c:pt>
                <c:pt idx="5">
                  <c:v>0</c:v>
                </c:pt>
                <c:pt idx="6">
                  <c:v>0</c:v>
                </c:pt>
                <c:pt idx="7">
                  <c:v>0</c:v>
                </c:pt>
              </c:numCache>
            </c:numRef>
          </c:val>
          <c:smooth val="0"/>
          <c:extLst>
            <c:ext xmlns:c15="http://schemas.microsoft.com/office/drawing/2012/chart" uri="{02D57815-91ED-43cb-92C2-25804820EDAC}">
              <c15:categoryFilterExceptions>
                <c15:categoryFilterException>
                  <c15:sqref>'MTBF graph_CR51'!$H$10</c15:sqref>
                  <c15:dLbl>
                    <c:idx val="-1"/>
                    <c:layout>
                      <c:manualLayout>
                        <c:x val="-3.7030727160750919E-2"/>
                        <c:y val="3.9682068195016407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0-0191-4492-922C-FAE37823F36C}"/>
                      </c:ext>
                    </c:extLst>
                  </c15:dLbl>
                </c15:categoryFilterException>
                <c15:categoryFilterException>
                  <c15:sqref>'MTBF graph_CR51'!$H$11</c15:sqref>
                  <c15:dLbl>
                    <c:idx val="-1"/>
                    <c:layout>
                      <c:manualLayout>
                        <c:x val="-3.5930914678936422E-2"/>
                        <c:y val="4.6214218361842384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1-0191-4492-922C-FAE37823F36C}"/>
                      </c:ext>
                    </c:extLst>
                  </c15:dLbl>
                </c15:categoryFilterException>
                <c15:categoryFilterException>
                  <c15:sqref>'MTBF graph_CR51'!$H$15</c15:sqref>
                  <c15:dLbl>
                    <c:idx val="-1"/>
                    <c:layout>
                      <c:manualLayout>
                        <c:x val="-2.651418871272182E-2"/>
                        <c:y val="6.293336461428487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2-0191-4492-922C-FAE37823F36C}"/>
                      </c:ext>
                    </c:extLst>
                  </c15:dLbl>
                </c15:categoryFilterException>
                <c15:categoryFilterException>
                  <c15:sqref>'MTBF graph_CR51'!$H$16</c15:sqref>
                  <c15:dLbl>
                    <c:idx val="-1"/>
                    <c:layout>
                      <c:manualLayout>
                        <c:x val="-2.2111816258688424E-2"/>
                        <c:y val="5.0750929636448942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3-0191-4492-922C-FAE37823F36C}"/>
                      </c:ext>
                    </c:extLst>
                  </c15:dLbl>
                </c15:categoryFilterException>
              </c15:categoryFilterExceptions>
            </c:ext>
            <c:ext xmlns:c16="http://schemas.microsoft.com/office/drawing/2014/chart" uri="{C3380CC4-5D6E-409C-BE32-E72D297353CC}">
              <c16:uniqueId val="{00000005-A78A-424A-B219-74D5C67629DB}"/>
            </c:ext>
          </c:extLst>
        </c:ser>
        <c:ser>
          <c:idx val="3"/>
          <c:order val="3"/>
          <c:tx>
            <c:strRef>
              <c:f>'MTBF graph_CR51'!$K$5</c:f>
              <c:strCache>
                <c:ptCount val="1"/>
                <c:pt idx="0">
                  <c:v>MTBFu 4wma</c:v>
                </c:pt>
              </c:strCache>
            </c:strRef>
          </c:tx>
          <c:spPr>
            <a:ln w="28575" cap="rnd">
              <a:solidFill>
                <a:schemeClr val="bg1">
                  <a:lumMod val="65000"/>
                </a:schemeClr>
              </a:solidFill>
              <a:round/>
            </a:ln>
            <a:effectLst/>
          </c:spPr>
          <c:marker>
            <c:symbol val="diamond"/>
            <c:size val="8"/>
            <c:spPr>
              <a:solidFill>
                <a:schemeClr val="bg1">
                  <a:lumMod val="65000"/>
                  <a:alpha val="95000"/>
                </a:schemeClr>
              </a:solidFill>
              <a:ln w="9525">
                <a:solidFill>
                  <a:schemeClr val="bg1">
                    <a:lumMod val="65000"/>
                  </a:schemeClr>
                </a:solidFill>
              </a:ln>
              <a:effectLst/>
            </c:spPr>
          </c:marker>
          <c:dLbls>
            <c:spPr>
              <a:solidFill>
                <a:sysClr val="window" lastClr="FFFFFF"/>
              </a:solidFill>
              <a:ln>
                <a:solidFill>
                  <a:sysClr val="window" lastClr="FFFFFF">
                    <a:lumMod val="6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lumMod val="65000"/>
                      </a:schemeClr>
                    </a:solidFill>
                    <a:latin typeface="+mn-lt"/>
                    <a:ea typeface="+mn-ea"/>
                    <a:cs typeface="+mn-cs"/>
                  </a:defRPr>
                </a:pPr>
                <a:endParaRPr lang="en-US"/>
              </a:p>
            </c:txPr>
            <c:dLblPos val="b"/>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extLst>
                <c:ext xmlns:c15="http://schemas.microsoft.com/office/drawing/2012/chart" uri="{02D57815-91ED-43cb-92C2-25804820EDAC}">
                  <c15:fullRef>
                    <c15:sqref>'MTBF graph_CR51'!$B$6:$B$30</c15:sqref>
                  </c15:fullRef>
                </c:ext>
              </c:extLst>
              <c:f>'MTBF graph_CR51'!$B$23:$B$30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graph_CR51'!$K$6:$K$30</c15:sqref>
                  </c15:fullRef>
                </c:ext>
              </c:extLst>
              <c:f>'MTBF graph_CR51'!$K$23:$K$30</c:f>
              <c:numCache>
                <c:formatCode>0.0</c:formatCode>
                <c:ptCount val="8"/>
                <c:pt idx="0">
                  <c:v>0</c:v>
                </c:pt>
                <c:pt idx="1">
                  <c:v>0</c:v>
                </c:pt>
                <c:pt idx="2">
                  <c:v>0</c:v>
                </c:pt>
                <c:pt idx="3" formatCode="0">
                  <c:v>0</c:v>
                </c:pt>
                <c:pt idx="4" formatCode="0">
                  <c:v>0</c:v>
                </c:pt>
                <c:pt idx="5" formatCode="0">
                  <c:v>0</c:v>
                </c:pt>
                <c:pt idx="6" formatCode="0">
                  <c:v>0</c:v>
                </c:pt>
                <c:pt idx="7" formatCode="0">
                  <c:v>0</c:v>
                </c:pt>
              </c:numCache>
            </c:numRef>
          </c:val>
          <c:smooth val="0"/>
          <c:extLst>
            <c:ext xmlns:c15="http://schemas.microsoft.com/office/drawing/2012/chart" uri="{02D57815-91ED-43cb-92C2-25804820EDAC}">
              <c15:categoryFilterExceptions>
                <c15:categoryFilterException>
                  <c15:sqref>'MTBF graph_CR51'!$K$10</c15:sqref>
                  <c15:dLbl>
                    <c:idx val="-1"/>
                    <c:layout>
                      <c:manualLayout>
                        <c:x val="-3.7030727160750919E-2"/>
                        <c:y val="-4.632941916023020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4-0191-4492-922C-FAE37823F36C}"/>
                      </c:ext>
                    </c:extLst>
                  </c15:dLbl>
                </c15:categoryFilterException>
                <c15:categoryFilterException>
                  <c15:sqref>'MTBF graph_CR51'!$K$11</c15:sqref>
                  <c15:dLbl>
                    <c:idx val="-1"/>
                    <c:layout>
                      <c:manualLayout>
                        <c:x val="-3.889621693125013E-2"/>
                        <c:y val="-4.9529629331832435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5-0191-4492-922C-FAE37823F36C}"/>
                      </c:ext>
                    </c:extLst>
                  </c15:dLbl>
                </c15:categoryFilterException>
                <c15:categoryFilterException>
                  <c15:sqref>'MTBF graph_CR51'!$K$12</c15:sqref>
                  <c15:dLbl>
                    <c:idx val="-1"/>
                    <c:layout>
                      <c:manualLayout>
                        <c:x val="-5.9406708729883011E-2"/>
                        <c:y val="-3.7653563278960141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6-0191-4492-922C-FAE37823F36C}"/>
                      </c:ext>
                    </c:extLst>
                  </c15:dLbl>
                </c15:categoryFilterException>
                <c15:categoryFilterException>
                  <c15:sqref>'MTBF graph_CR51'!$K$13</c15:sqref>
                  <c15:dLbl>
                    <c:idx val="-1"/>
                    <c:layout>
                      <c:manualLayout>
                        <c:x val="-3.8090385685576218E-2"/>
                        <c:y val="-4.3961108767165399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7-0191-4492-922C-FAE37823F36C}"/>
                      </c:ext>
                    </c:extLst>
                  </c15:dLbl>
                </c15:categoryFilterException>
                <c15:categoryFilterException>
                  <c15:sqref>'MTBF graph_CR51'!$K$15</c15:sqref>
                  <c15:dLbl>
                    <c:idx val="-1"/>
                    <c:layout>
                      <c:manualLayout>
                        <c:x val="-5.7236945895289312E-2"/>
                        <c:y val="-5.3464580783886072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8-0191-4492-922C-FAE37823F36C}"/>
                      </c:ext>
                    </c:extLst>
                  </c15:dLbl>
                </c15:categoryFilterException>
                <c15:categoryFilterException>
                  <c15:sqref>'MTBF graph_CR51'!$K$16</c15:sqref>
                  <c15:dLbl>
                    <c:idx val="-1"/>
                    <c:layout>
                      <c:manualLayout>
                        <c:x val="-9.8872166817769877E-2"/>
                        <c:y val="1.611369844880079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9-0191-4492-922C-FAE37823F36C}"/>
                      </c:ext>
                    </c:extLst>
                  </c15:dLbl>
                </c15:categoryFilterException>
              </c15:categoryFilterExceptions>
            </c:ext>
            <c:ext xmlns:c16="http://schemas.microsoft.com/office/drawing/2014/chart" uri="{C3380CC4-5D6E-409C-BE32-E72D297353CC}">
              <c16:uniqueId val="{00000007-A78A-424A-B219-74D5C67629DB}"/>
            </c:ext>
          </c:extLst>
        </c:ser>
        <c:dLbls>
          <c:showLegendKey val="0"/>
          <c:showVal val="0"/>
          <c:showCatName val="0"/>
          <c:showSerName val="0"/>
          <c:showPercent val="0"/>
          <c:showBubbleSize val="0"/>
        </c:dLbls>
        <c:marker val="1"/>
        <c:smooth val="0"/>
        <c:axId val="923793232"/>
        <c:axId val="923795392"/>
      </c:lineChart>
      <c:catAx>
        <c:axId val="92379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5392"/>
        <c:crosses val="autoZero"/>
        <c:auto val="1"/>
        <c:lblAlgn val="ctr"/>
        <c:lblOffset val="100"/>
        <c:noMultiLvlLbl val="0"/>
      </c:catAx>
      <c:valAx>
        <c:axId val="923795392"/>
        <c:scaling>
          <c:orientation val="minMax"/>
          <c:max val="12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MTBF [hrs]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3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MTBFp</a:t>
            </a:r>
            <a:r>
              <a:rPr lang="en-US" baseline="0"/>
              <a:t> / MTBFu for Intel EZ60</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'MTBF graph_EX04'!$G$5</c:f>
              <c:strCache>
                <c:ptCount val="1"/>
                <c:pt idx="0">
                  <c:v>MTBFp 1wma</c:v>
                </c:pt>
              </c:strCache>
            </c:strRef>
          </c:tx>
          <c:spPr>
            <a:solidFill>
              <a:schemeClr val="accent1">
                <a:alpha val="40000"/>
              </a:schemeClr>
            </a:solidFill>
            <a:ln w="9525">
              <a:solidFill>
                <a:schemeClr val="accent1"/>
              </a:solidFill>
              <a:prstDash val="solid"/>
            </a:ln>
            <a:effectLst/>
          </c:spPr>
          <c:invertIfNegative val="0"/>
          <c:cat>
            <c:strRef>
              <c:extLst>
                <c:ext xmlns:c15="http://schemas.microsoft.com/office/drawing/2012/chart" uri="{02D57815-91ED-43cb-92C2-25804820EDAC}">
                  <c15:fullRef>
                    <c15:sqref>'MTBF graph_EX04'!$B$6:$B$30</c15:sqref>
                  </c15:fullRef>
                </c:ext>
              </c:extLst>
              <c:f>'MTBF graph_EX04'!$B$23:$B$30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graph_EX04'!$G$6:$G$30</c15:sqref>
                  </c15:fullRef>
                </c:ext>
              </c:extLst>
              <c:f>'MTBF graph_EX04'!$G$23:$G$30</c:f>
              <c:numCache>
                <c:formatCode>0.0</c:formatCode>
                <c:ptCount val="8"/>
                <c:pt idx="0">
                  <c:v>0</c:v>
                </c:pt>
                <c:pt idx="1">
                  <c:v>0</c:v>
                </c:pt>
                <c:pt idx="2">
                  <c:v>0</c:v>
                </c:pt>
                <c:pt idx="3" formatCode="0">
                  <c:v>0</c:v>
                </c:pt>
                <c:pt idx="4" formatCode="0">
                  <c:v>0</c:v>
                </c:pt>
                <c:pt idx="5" formatCode="0">
                  <c:v>0</c:v>
                </c:pt>
                <c:pt idx="6" formatCode="0">
                  <c:v>0</c:v>
                </c:pt>
                <c:pt idx="7" formatCode="0">
                  <c:v>0</c:v>
                </c:pt>
              </c:numCache>
            </c:numRef>
          </c:val>
          <c:extLst>
            <c:ext xmlns:c16="http://schemas.microsoft.com/office/drawing/2014/chart" uri="{C3380CC4-5D6E-409C-BE32-E72D297353CC}">
              <c16:uniqueId val="{00000000-521A-412C-87E6-757D9E65151B}"/>
            </c:ext>
          </c:extLst>
        </c:ser>
        <c:ser>
          <c:idx val="2"/>
          <c:order val="1"/>
          <c:tx>
            <c:strRef>
              <c:f>'MTBF graph_EX04'!$J$5</c:f>
              <c:strCache>
                <c:ptCount val="1"/>
                <c:pt idx="0">
                  <c:v>MTBFu 1wma</c:v>
                </c:pt>
              </c:strCache>
            </c:strRef>
          </c:tx>
          <c:spPr>
            <a:solidFill>
              <a:schemeClr val="accent3">
                <a:alpha val="40000"/>
              </a:schemeClr>
            </a:solidFill>
            <a:ln>
              <a:solidFill>
                <a:schemeClr val="bg1">
                  <a:lumMod val="65000"/>
                </a:schemeClr>
              </a:solidFill>
              <a:prstDash val="solid"/>
            </a:ln>
            <a:effectLst/>
          </c:spPr>
          <c:invertIfNegative val="0"/>
          <c:cat>
            <c:strRef>
              <c:extLst>
                <c:ext xmlns:c15="http://schemas.microsoft.com/office/drawing/2012/chart" uri="{02D57815-91ED-43cb-92C2-25804820EDAC}">
                  <c15:fullRef>
                    <c15:sqref>'MTBF graph_EX04'!$B$6:$B$30</c15:sqref>
                  </c15:fullRef>
                </c:ext>
              </c:extLst>
              <c:f>'MTBF graph_EX04'!$B$23:$B$30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graph_EX04'!$J$6:$J$30</c15:sqref>
                  </c15:fullRef>
                </c:ext>
              </c:extLst>
              <c:f>'MTBF graph_EX04'!$J$23:$J$30</c:f>
              <c:numCache>
                <c:formatCode>0.0</c:formatCode>
                <c:ptCount val="8"/>
                <c:pt idx="0">
                  <c:v>0</c:v>
                </c:pt>
                <c:pt idx="1">
                  <c:v>0</c:v>
                </c:pt>
                <c:pt idx="2">
                  <c:v>0</c:v>
                </c:pt>
                <c:pt idx="3">
                  <c:v>0</c:v>
                </c:pt>
                <c:pt idx="4">
                  <c:v>0</c:v>
                </c:pt>
                <c:pt idx="5">
                  <c:v>0</c:v>
                </c:pt>
                <c:pt idx="6">
                  <c:v>0</c:v>
                </c:pt>
                <c:pt idx="7">
                  <c:v>0</c:v>
                </c:pt>
              </c:numCache>
            </c:numRef>
          </c:val>
          <c:extLst>
            <c:ext xmlns:c16="http://schemas.microsoft.com/office/drawing/2014/chart" uri="{C3380CC4-5D6E-409C-BE32-E72D297353CC}">
              <c16:uniqueId val="{00000001-521A-412C-87E6-757D9E65151B}"/>
            </c:ext>
          </c:extLst>
        </c:ser>
        <c:dLbls>
          <c:showLegendKey val="0"/>
          <c:showVal val="0"/>
          <c:showCatName val="0"/>
          <c:showSerName val="0"/>
          <c:showPercent val="0"/>
          <c:showBubbleSize val="0"/>
        </c:dLbls>
        <c:gapWidth val="50"/>
        <c:axId val="923793232"/>
        <c:axId val="923795392"/>
      </c:barChart>
      <c:lineChart>
        <c:grouping val="standard"/>
        <c:varyColors val="0"/>
        <c:ser>
          <c:idx val="1"/>
          <c:order val="2"/>
          <c:tx>
            <c:strRef>
              <c:f>'MTBF graph_EX04'!$H$5</c:f>
              <c:strCache>
                <c:ptCount val="1"/>
                <c:pt idx="0">
                  <c:v>MTBFp 4wma</c:v>
                </c:pt>
              </c:strCache>
            </c:strRef>
          </c:tx>
          <c:spPr>
            <a:ln w="28575" cap="rnd">
              <a:solidFill>
                <a:srgbClr val="002060"/>
              </a:solidFill>
              <a:round/>
            </a:ln>
            <a:effectLst/>
          </c:spPr>
          <c:marker>
            <c:symbol val="triangle"/>
            <c:size val="8"/>
            <c:spPr>
              <a:solidFill>
                <a:srgbClr val="002060"/>
              </a:solidFill>
              <a:ln w="9525">
                <a:solidFill>
                  <a:srgbClr val="002060"/>
                </a:solidFill>
              </a:ln>
              <a:effectLst/>
            </c:spPr>
          </c:marker>
          <c:dLbls>
            <c:spPr>
              <a:solidFill>
                <a:sysClr val="window" lastClr="FFFFFF"/>
              </a:solidFill>
              <a:ln>
                <a:solidFill>
                  <a:srgbClr val="002060"/>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extLst>
                <c:ext xmlns:c15="http://schemas.microsoft.com/office/drawing/2012/chart" uri="{02D57815-91ED-43cb-92C2-25804820EDAC}">
                  <c15:fullRef>
                    <c15:sqref>'MTBF graph_EX04'!$B$6:$B$30</c15:sqref>
                  </c15:fullRef>
                </c:ext>
              </c:extLst>
              <c:f>'MTBF graph_EX04'!$B$23:$B$30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graph_EX04'!$H$6:$H$30</c15:sqref>
                  </c15:fullRef>
                </c:ext>
              </c:extLst>
              <c:f>'MTBF graph_EX04'!$H$23:$H$30</c:f>
              <c:numCache>
                <c:formatCode>0.0</c:formatCode>
                <c:ptCount val="8"/>
                <c:pt idx="0">
                  <c:v>0</c:v>
                </c:pt>
                <c:pt idx="1">
                  <c:v>0</c:v>
                </c:pt>
                <c:pt idx="2">
                  <c:v>0</c:v>
                </c:pt>
                <c:pt idx="3">
                  <c:v>0</c:v>
                </c:pt>
                <c:pt idx="4">
                  <c:v>0</c:v>
                </c:pt>
                <c:pt idx="5">
                  <c:v>0</c:v>
                </c:pt>
                <c:pt idx="6">
                  <c:v>0</c:v>
                </c:pt>
                <c:pt idx="7">
                  <c:v>0</c:v>
                </c:pt>
              </c:numCache>
            </c:numRef>
          </c:val>
          <c:smooth val="0"/>
          <c:extLst>
            <c:ext xmlns:c15="http://schemas.microsoft.com/office/drawing/2012/chart" uri="{02D57815-91ED-43cb-92C2-25804820EDAC}">
              <c15:categoryFilterExceptions>
                <c15:categoryFilterException>
                  <c15:sqref>'MTBF graph_EX04'!$H$10</c15:sqref>
                  <c15:dLbl>
                    <c:idx val="-1"/>
                    <c:layout>
                      <c:manualLayout>
                        <c:x val="-3.7030727160750919E-2"/>
                        <c:y val="3.9682068195016407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0-49B7-458D-9FA5-7B2FAECD6907}"/>
                      </c:ext>
                    </c:extLst>
                  </c15:dLbl>
                </c15:categoryFilterException>
                <c15:categoryFilterException>
                  <c15:sqref>'MTBF graph_EX04'!$H$11</c15:sqref>
                  <c15:dLbl>
                    <c:idx val="-1"/>
                    <c:layout>
                      <c:manualLayout>
                        <c:x val="-3.5930914678936422E-2"/>
                        <c:y val="4.6214218361842384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1-49B7-458D-9FA5-7B2FAECD6907}"/>
                      </c:ext>
                    </c:extLst>
                  </c15:dLbl>
                </c15:categoryFilterException>
                <c15:categoryFilterException>
                  <c15:sqref>'MTBF graph_EX04'!$H$15</c15:sqref>
                  <c15:dLbl>
                    <c:idx val="-1"/>
                    <c:layout>
                      <c:manualLayout>
                        <c:x val="-2.651418871272182E-2"/>
                        <c:y val="6.293336461428487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2-49B7-458D-9FA5-7B2FAECD6907}"/>
                      </c:ext>
                    </c:extLst>
                  </c15:dLbl>
                </c15:categoryFilterException>
                <c15:categoryFilterException>
                  <c15:sqref>'MTBF graph_EX04'!$H$16</c15:sqref>
                  <c15:dLbl>
                    <c:idx val="-1"/>
                    <c:layout>
                      <c:manualLayout>
                        <c:x val="-2.2111816258688424E-2"/>
                        <c:y val="5.0750929636448942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3-49B7-458D-9FA5-7B2FAECD6907}"/>
                      </c:ext>
                    </c:extLst>
                  </c15:dLbl>
                </c15:categoryFilterException>
              </c15:categoryFilterExceptions>
            </c:ext>
            <c:ext xmlns:c16="http://schemas.microsoft.com/office/drawing/2014/chart" uri="{C3380CC4-5D6E-409C-BE32-E72D297353CC}">
              <c16:uniqueId val="{00000002-521A-412C-87E6-757D9E65151B}"/>
            </c:ext>
          </c:extLst>
        </c:ser>
        <c:ser>
          <c:idx val="3"/>
          <c:order val="3"/>
          <c:tx>
            <c:strRef>
              <c:f>'MTBF graph_EX04'!$K$5</c:f>
              <c:strCache>
                <c:ptCount val="1"/>
                <c:pt idx="0">
                  <c:v>MTBFu 4wma</c:v>
                </c:pt>
              </c:strCache>
            </c:strRef>
          </c:tx>
          <c:spPr>
            <a:ln w="28575" cap="rnd">
              <a:solidFill>
                <a:schemeClr val="bg1">
                  <a:lumMod val="65000"/>
                </a:schemeClr>
              </a:solidFill>
              <a:round/>
            </a:ln>
            <a:effectLst/>
          </c:spPr>
          <c:marker>
            <c:symbol val="diamond"/>
            <c:size val="8"/>
            <c:spPr>
              <a:solidFill>
                <a:schemeClr val="bg1">
                  <a:lumMod val="65000"/>
                  <a:alpha val="95000"/>
                </a:schemeClr>
              </a:solidFill>
              <a:ln w="9525">
                <a:solidFill>
                  <a:schemeClr val="bg1">
                    <a:lumMod val="65000"/>
                  </a:schemeClr>
                </a:solidFill>
              </a:ln>
              <a:effectLst/>
            </c:spPr>
          </c:marker>
          <c:dLbls>
            <c:spPr>
              <a:solidFill>
                <a:sysClr val="window" lastClr="FFFFFF"/>
              </a:solidFill>
              <a:ln>
                <a:solidFill>
                  <a:sysClr val="window" lastClr="FFFFFF">
                    <a:lumMod val="6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lumMod val="65000"/>
                      </a:schemeClr>
                    </a:solidFill>
                    <a:latin typeface="+mn-lt"/>
                    <a:ea typeface="+mn-ea"/>
                    <a:cs typeface="+mn-cs"/>
                  </a:defRPr>
                </a:pPr>
                <a:endParaRPr lang="en-US"/>
              </a:p>
            </c:txPr>
            <c:dLblPos val="b"/>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extLst>
                <c:ext xmlns:c15="http://schemas.microsoft.com/office/drawing/2012/chart" uri="{02D57815-91ED-43cb-92C2-25804820EDAC}">
                  <c15:fullRef>
                    <c15:sqref>'MTBF graph_EX04'!$B$6:$B$30</c15:sqref>
                  </c15:fullRef>
                </c:ext>
              </c:extLst>
              <c:f>'MTBF graph_EX04'!$B$23:$B$30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graph_EX04'!$K$6:$K$30</c15:sqref>
                  </c15:fullRef>
                </c:ext>
              </c:extLst>
              <c:f>'MTBF graph_EX04'!$K$23:$K$30</c:f>
              <c:numCache>
                <c:formatCode>0.0</c:formatCode>
                <c:ptCount val="8"/>
                <c:pt idx="0">
                  <c:v>0</c:v>
                </c:pt>
                <c:pt idx="1">
                  <c:v>0</c:v>
                </c:pt>
                <c:pt idx="2">
                  <c:v>0</c:v>
                </c:pt>
                <c:pt idx="3" formatCode="0">
                  <c:v>0</c:v>
                </c:pt>
                <c:pt idx="4" formatCode="0">
                  <c:v>0</c:v>
                </c:pt>
                <c:pt idx="5" formatCode="0">
                  <c:v>0</c:v>
                </c:pt>
                <c:pt idx="6" formatCode="0">
                  <c:v>0</c:v>
                </c:pt>
                <c:pt idx="7" formatCode="0">
                  <c:v>0</c:v>
                </c:pt>
              </c:numCache>
            </c:numRef>
          </c:val>
          <c:smooth val="0"/>
          <c:extLst>
            <c:ext xmlns:c15="http://schemas.microsoft.com/office/drawing/2012/chart" uri="{02D57815-91ED-43cb-92C2-25804820EDAC}">
              <c15:categoryFilterExceptions>
                <c15:categoryFilterException>
                  <c15:sqref>'MTBF graph_EX04'!$K$10</c15:sqref>
                  <c15:dLbl>
                    <c:idx val="-1"/>
                    <c:layout>
                      <c:manualLayout>
                        <c:x val="-3.7030727160750919E-2"/>
                        <c:y val="-4.632941916023020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4-49B7-458D-9FA5-7B2FAECD6907}"/>
                      </c:ext>
                    </c:extLst>
                  </c15:dLbl>
                </c15:categoryFilterException>
                <c15:categoryFilterException>
                  <c15:sqref>'MTBF graph_EX04'!$K$11</c15:sqref>
                  <c15:dLbl>
                    <c:idx val="-1"/>
                    <c:layout>
                      <c:manualLayout>
                        <c:x val="-3.889621693125013E-2"/>
                        <c:y val="-4.9529629331832435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5-49B7-458D-9FA5-7B2FAECD6907}"/>
                      </c:ext>
                    </c:extLst>
                  </c15:dLbl>
                </c15:categoryFilterException>
                <c15:categoryFilterException>
                  <c15:sqref>'MTBF graph_EX04'!$K$12</c15:sqref>
                  <c15:dLbl>
                    <c:idx val="-1"/>
                    <c:layout>
                      <c:manualLayout>
                        <c:x val="-5.9406708729883011E-2"/>
                        <c:y val="-3.7653563278960141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6-49B7-458D-9FA5-7B2FAECD6907}"/>
                      </c:ext>
                    </c:extLst>
                  </c15:dLbl>
                </c15:categoryFilterException>
                <c15:categoryFilterException>
                  <c15:sqref>'MTBF graph_EX04'!$K$13</c15:sqref>
                  <c15:dLbl>
                    <c:idx val="-1"/>
                    <c:layout>
                      <c:manualLayout>
                        <c:x val="-3.8090385685576218E-2"/>
                        <c:y val="-4.3961108767165399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7-49B7-458D-9FA5-7B2FAECD6907}"/>
                      </c:ext>
                    </c:extLst>
                  </c15:dLbl>
                </c15:categoryFilterException>
                <c15:categoryFilterException>
                  <c15:sqref>'MTBF graph_EX04'!$K$15</c15:sqref>
                  <c15:dLbl>
                    <c:idx val="-1"/>
                    <c:layout>
                      <c:manualLayout>
                        <c:x val="-5.7236945895289312E-2"/>
                        <c:y val="-5.3464580783886072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8-49B7-458D-9FA5-7B2FAECD6907}"/>
                      </c:ext>
                    </c:extLst>
                  </c15:dLbl>
                </c15:categoryFilterException>
                <c15:categoryFilterException>
                  <c15:sqref>'MTBF graph_EX04'!$K$16</c15:sqref>
                  <c15:dLbl>
                    <c:idx val="-1"/>
                    <c:layout>
                      <c:manualLayout>
                        <c:x val="-9.8872166817769877E-2"/>
                        <c:y val="1.611369844880079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9-49B7-458D-9FA5-7B2FAECD6907}"/>
                      </c:ext>
                    </c:extLst>
                  </c15:dLbl>
                </c15:categoryFilterException>
              </c15:categoryFilterExceptions>
            </c:ext>
            <c:ext xmlns:c16="http://schemas.microsoft.com/office/drawing/2014/chart" uri="{C3380CC4-5D6E-409C-BE32-E72D297353CC}">
              <c16:uniqueId val="{00000003-521A-412C-87E6-757D9E65151B}"/>
            </c:ext>
          </c:extLst>
        </c:ser>
        <c:dLbls>
          <c:showLegendKey val="0"/>
          <c:showVal val="0"/>
          <c:showCatName val="0"/>
          <c:showSerName val="0"/>
          <c:showPercent val="0"/>
          <c:showBubbleSize val="0"/>
        </c:dLbls>
        <c:marker val="1"/>
        <c:smooth val="0"/>
        <c:axId val="923793232"/>
        <c:axId val="923795392"/>
      </c:lineChart>
      <c:catAx>
        <c:axId val="92379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5392"/>
        <c:crosses val="autoZero"/>
        <c:auto val="1"/>
        <c:lblAlgn val="ctr"/>
        <c:lblOffset val="100"/>
        <c:noMultiLvlLbl val="0"/>
      </c:catAx>
      <c:valAx>
        <c:axId val="923795392"/>
        <c:scaling>
          <c:orientation val="minMax"/>
          <c:max val="12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MTBF [hrs]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3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MTBFp</a:t>
            </a:r>
            <a:r>
              <a:rPr lang="en-US" baseline="0"/>
              <a:t> for Intel EZ60</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'MTBF graph_CR51'!$G$5</c:f>
              <c:strCache>
                <c:ptCount val="1"/>
                <c:pt idx="0">
                  <c:v>MTBFp 1wma</c:v>
                </c:pt>
              </c:strCache>
            </c:strRef>
          </c:tx>
          <c:spPr>
            <a:solidFill>
              <a:schemeClr val="accent1">
                <a:alpha val="40000"/>
              </a:schemeClr>
            </a:solidFill>
            <a:ln w="9525">
              <a:solidFill>
                <a:schemeClr val="accent1"/>
              </a:solidFill>
              <a:prstDash val="soli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'MTBF graph_CR51'!$B$6:$B$30</c15:sqref>
                  </c15:fullRef>
                </c:ext>
              </c:extLst>
              <c:f>'MTBF graph_CR51'!$B$16:$B$30</c:f>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xmlns:c15="http://schemas.microsoft.com/office/drawing/2012/chart" uri="{02D57815-91ED-43cb-92C2-25804820EDAC}">
                  <c15:fullRef>
                    <c15:sqref>'MTBF graph_CR51'!$G$6:$G$30</c15:sqref>
                  </c15:fullRef>
                </c:ext>
              </c:extLst>
              <c:f>'MTBF graph_CR51'!$G$16:$G$30</c:f>
              <c:numCache>
                <c:formatCode>0.0</c:formatCode>
                <c:ptCount val="15"/>
                <c:pt idx="0">
                  <c:v>0</c:v>
                </c:pt>
                <c:pt idx="1">
                  <c:v>0</c:v>
                </c:pt>
                <c:pt idx="2">
                  <c:v>0</c:v>
                </c:pt>
                <c:pt idx="3">
                  <c:v>0</c:v>
                </c:pt>
                <c:pt idx="4">
                  <c:v>0</c:v>
                </c:pt>
                <c:pt idx="5">
                  <c:v>0</c:v>
                </c:pt>
                <c:pt idx="6">
                  <c:v>0</c:v>
                </c:pt>
                <c:pt idx="7">
                  <c:v>0</c:v>
                </c:pt>
                <c:pt idx="8">
                  <c:v>0</c:v>
                </c:pt>
                <c:pt idx="9">
                  <c:v>0</c:v>
                </c:pt>
                <c:pt idx="10" formatCode="0">
                  <c:v>0</c:v>
                </c:pt>
                <c:pt idx="11" formatCode="0">
                  <c:v>0</c:v>
                </c:pt>
                <c:pt idx="12" formatCode="0">
                  <c:v>0</c:v>
                </c:pt>
                <c:pt idx="13" formatCode="0">
                  <c:v>0</c:v>
                </c:pt>
                <c:pt idx="14" formatCode="0">
                  <c:v>0</c:v>
                </c:pt>
              </c:numCache>
            </c:numRef>
          </c:val>
          <c:extLst>
            <c:ext xmlns:c16="http://schemas.microsoft.com/office/drawing/2014/chart" uri="{C3380CC4-5D6E-409C-BE32-E72D297353CC}">
              <c16:uniqueId val="{00000004-A78A-424A-B219-74D5C67629DB}"/>
            </c:ext>
          </c:extLst>
        </c:ser>
        <c:dLbls>
          <c:showLegendKey val="0"/>
          <c:showVal val="0"/>
          <c:showCatName val="0"/>
          <c:showSerName val="0"/>
          <c:showPercent val="0"/>
          <c:showBubbleSize val="0"/>
        </c:dLbls>
        <c:gapWidth val="50"/>
        <c:axId val="923793232"/>
        <c:axId val="923795392"/>
        <c:extLst>
          <c:ext xmlns:c15="http://schemas.microsoft.com/office/drawing/2012/chart" uri="{02D57815-91ED-43cb-92C2-25804820EDAC}">
            <c15:filteredBarSeries>
              <c15:ser>
                <c:idx val="2"/>
                <c:order val="1"/>
                <c:tx>
                  <c:strRef>
                    <c:extLst>
                      <c:ext uri="{02D57815-91ED-43cb-92C2-25804820EDAC}">
                        <c15:formulaRef>
                          <c15:sqref>'MTBF graph_CR51'!$J$5</c15:sqref>
                        </c15:formulaRef>
                      </c:ext>
                    </c:extLst>
                    <c:strCache>
                      <c:ptCount val="1"/>
                      <c:pt idx="0">
                        <c:v>MTBFu 1wma</c:v>
                      </c:pt>
                    </c:strCache>
                  </c:strRef>
                </c:tx>
                <c:spPr>
                  <a:solidFill>
                    <a:schemeClr val="accent3">
                      <a:alpha val="40000"/>
                    </a:schemeClr>
                  </a:solidFill>
                  <a:ln>
                    <a:solidFill>
                      <a:schemeClr val="bg1">
                        <a:lumMod val="65000"/>
                      </a:schemeClr>
                    </a:solidFill>
                    <a:prstDash val="solid"/>
                  </a:ln>
                  <a:effectLst/>
                </c:spPr>
                <c:invertIfNegative val="0"/>
                <c:cat>
                  <c:strRef>
                    <c:extLst>
                      <c:ext uri="{02D57815-91ED-43cb-92C2-25804820EDAC}">
                        <c15:fullRef>
                          <c15:sqref>'MTBF graph_CR51'!$B$6:$B$30</c15:sqref>
                        </c15:fullRef>
                        <c15:formulaRef>
                          <c15:sqref>'MTBF graph_CR51'!$B$16:$B$30</c15:sqref>
                        </c15:formulaRef>
                      </c:ext>
                    </c:extLst>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uri="{02D57815-91ED-43cb-92C2-25804820EDAC}">
                        <c15:fullRef>
                          <c15:sqref>'MTBF graph_CR51'!$J$6:$J$30</c15:sqref>
                        </c15:fullRef>
                        <c15:formulaRef>
                          <c15:sqref>'MTBF graph_CR51'!$J$16:$J$30</c15:sqref>
                        </c15:formulaRef>
                      </c:ext>
                    </c:extLst>
                    <c:numCache>
                      <c:formatCode>0.0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extLst>
                  <c:ext xmlns:c16="http://schemas.microsoft.com/office/drawing/2014/chart" uri="{C3380CC4-5D6E-409C-BE32-E72D297353CC}">
                    <c16:uniqueId val="{00000006-A78A-424A-B219-74D5C67629DB}"/>
                  </c:ext>
                </c:extLst>
              </c15:ser>
            </c15:filteredBarSeries>
          </c:ext>
        </c:extLst>
      </c:barChart>
      <c:lineChart>
        <c:grouping val="standard"/>
        <c:varyColors val="0"/>
        <c:ser>
          <c:idx val="1"/>
          <c:order val="2"/>
          <c:tx>
            <c:strRef>
              <c:f>'MTBF graph_CR51'!$H$5</c:f>
              <c:strCache>
                <c:ptCount val="1"/>
                <c:pt idx="0">
                  <c:v>MTBFp 4wma</c:v>
                </c:pt>
              </c:strCache>
            </c:strRef>
          </c:tx>
          <c:spPr>
            <a:ln w="28575" cap="rnd">
              <a:solidFill>
                <a:srgbClr val="002060"/>
              </a:solidFill>
              <a:round/>
            </a:ln>
            <a:effectLst/>
          </c:spPr>
          <c:marker>
            <c:symbol val="triangle"/>
            <c:size val="8"/>
            <c:spPr>
              <a:solidFill>
                <a:srgbClr val="002060"/>
              </a:solidFill>
              <a:ln w="9525">
                <a:solidFill>
                  <a:srgbClr val="002060"/>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'MTBF graph_CR51'!$B$6:$B$30</c15:sqref>
                  </c15:fullRef>
                </c:ext>
              </c:extLst>
              <c:f>'MTBF graph_CR51'!$B$16:$B$30</c:f>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xmlns:c15="http://schemas.microsoft.com/office/drawing/2012/chart" uri="{02D57815-91ED-43cb-92C2-25804820EDAC}">
                  <c15:fullRef>
                    <c15:sqref>'MTBF graph_CR51'!$H$6:$H$30</c15:sqref>
                  </c15:fullRef>
                </c:ext>
              </c:extLst>
              <c:f>'MTBF graph_CR51'!$H$16:$H$30</c:f>
              <c:numCache>
                <c:formatCode>0.0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smooth val="0"/>
          <c:extLst>
            <c:ext xmlns:c16="http://schemas.microsoft.com/office/drawing/2014/chart" uri="{C3380CC4-5D6E-409C-BE32-E72D297353CC}">
              <c16:uniqueId val="{00000005-A78A-424A-B219-74D5C67629DB}"/>
            </c:ext>
          </c:extLst>
        </c:ser>
        <c:ser>
          <c:idx val="4"/>
          <c:order val="4"/>
          <c:tx>
            <c:strRef>
              <c:f>'Batch MTBF'!$C$2</c:f>
              <c:strCache>
                <c:ptCount val="1"/>
                <c:pt idx="0">
                  <c:v>Batch capability</c:v>
                </c:pt>
              </c:strCache>
            </c:strRef>
          </c:tx>
          <c:spPr>
            <a:ln w="28575" cap="rnd">
              <a:solidFill>
                <a:schemeClr val="accent2"/>
              </a:solidFill>
              <a:prstDash val="dash"/>
              <a:round/>
            </a:ln>
            <a:effectLst/>
          </c:spPr>
          <c:marker>
            <c:symbol val="circle"/>
            <c:size val="5"/>
            <c:spPr>
              <a:solidFill>
                <a:schemeClr val="accent2"/>
              </a:solidFill>
              <a:ln w="9525">
                <a:solidFill>
                  <a:schemeClr val="accent2"/>
                </a:solidFill>
                <a:prstDash val="dash"/>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2"/>
                    </a:solidFill>
                    <a:latin typeface="+mn-lt"/>
                    <a:ea typeface="+mn-ea"/>
                    <a:cs typeface="+mn-cs"/>
                  </a:defRPr>
                </a:pPr>
                <a:endParaRPr lang="en-US"/>
              </a:p>
            </c:txPr>
            <c:dLblPos val="b"/>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'Batch MTBF'!$C$3:$C$27</c15:sqref>
                  </c15:fullRef>
                </c:ext>
              </c:extLst>
              <c:f>'Batch MTBF'!$C$13:$C$27</c:f>
              <c:numCache>
                <c:formatCode>General</c:formatCode>
                <c:ptCount val="15"/>
                <c:pt idx="0">
                  <c:v>27.4</c:v>
                </c:pt>
                <c:pt idx="1">
                  <c:v>27.4</c:v>
                </c:pt>
                <c:pt idx="2">
                  <c:v>31.6</c:v>
                </c:pt>
                <c:pt idx="3">
                  <c:v>31.6</c:v>
                </c:pt>
                <c:pt idx="4">
                  <c:v>31.6</c:v>
                </c:pt>
                <c:pt idx="5">
                  <c:v>31.6</c:v>
                </c:pt>
                <c:pt idx="6">
                  <c:v>34.299999999999997</c:v>
                </c:pt>
                <c:pt idx="7">
                  <c:v>34.299999999999997</c:v>
                </c:pt>
                <c:pt idx="8">
                  <c:v>34.299999999999997</c:v>
                </c:pt>
                <c:pt idx="9">
                  <c:v>36.700000000000003</c:v>
                </c:pt>
                <c:pt idx="10">
                  <c:v>36.700000000000003</c:v>
                </c:pt>
                <c:pt idx="11">
                  <c:v>46.9</c:v>
                </c:pt>
                <c:pt idx="12">
                  <c:v>46.9</c:v>
                </c:pt>
                <c:pt idx="13">
                  <c:v>46.9</c:v>
                </c:pt>
                <c:pt idx="14">
                  <c:v>46.9</c:v>
                </c:pt>
              </c:numCache>
            </c:numRef>
          </c:val>
          <c:smooth val="0"/>
          <c:extLst>
            <c:ext xmlns:c16="http://schemas.microsoft.com/office/drawing/2014/chart" uri="{C3380CC4-5D6E-409C-BE32-E72D297353CC}">
              <c16:uniqueId val="{0000000A-2495-49C9-99FC-D87D4E6786BE}"/>
            </c:ext>
          </c:extLst>
        </c:ser>
        <c:dLbls>
          <c:showLegendKey val="0"/>
          <c:showVal val="0"/>
          <c:showCatName val="0"/>
          <c:showSerName val="0"/>
          <c:showPercent val="0"/>
          <c:showBubbleSize val="0"/>
        </c:dLbls>
        <c:marker val="1"/>
        <c:smooth val="0"/>
        <c:axId val="923793232"/>
        <c:axId val="923795392"/>
        <c:extLst>
          <c:ext xmlns:c15="http://schemas.microsoft.com/office/drawing/2012/chart" uri="{02D57815-91ED-43cb-92C2-25804820EDAC}">
            <c15:filteredLineSeries>
              <c15:ser>
                <c:idx val="3"/>
                <c:order val="3"/>
                <c:tx>
                  <c:strRef>
                    <c:extLst>
                      <c:ext uri="{02D57815-91ED-43cb-92C2-25804820EDAC}">
                        <c15:formulaRef>
                          <c15:sqref>'MTBF graph_CR51'!$K$5</c15:sqref>
                        </c15:formulaRef>
                      </c:ext>
                    </c:extLst>
                    <c:strCache>
                      <c:ptCount val="1"/>
                      <c:pt idx="0">
                        <c:v>MTBFu 4wma</c:v>
                      </c:pt>
                    </c:strCache>
                  </c:strRef>
                </c:tx>
                <c:spPr>
                  <a:ln w="28575" cap="rnd">
                    <a:solidFill>
                      <a:schemeClr val="bg1">
                        <a:lumMod val="65000"/>
                      </a:schemeClr>
                    </a:solidFill>
                    <a:round/>
                  </a:ln>
                  <a:effectLst/>
                </c:spPr>
                <c:marker>
                  <c:symbol val="diamond"/>
                  <c:size val="8"/>
                  <c:spPr>
                    <a:solidFill>
                      <a:schemeClr val="bg1">
                        <a:lumMod val="65000"/>
                        <a:alpha val="95000"/>
                      </a:schemeClr>
                    </a:solidFill>
                    <a:ln w="9525">
                      <a:solidFill>
                        <a:schemeClr val="bg1">
                          <a:lumMod val="65000"/>
                        </a:schemeClr>
                      </a:solidFill>
                    </a:ln>
                    <a:effectLst/>
                  </c:spPr>
                </c:marker>
                <c:dLbls>
                  <c:dLbl>
                    <c:idx val="0"/>
                    <c:layout>
                      <c:manualLayout>
                        <c:x val="-9.8872166817769877E-2"/>
                        <c:y val="1.611369844880079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9-2495-49C9-99FC-D87D4E6786BE}"/>
                      </c:ext>
                    </c:extLst>
                  </c:dLbl>
                  <c:spPr>
                    <a:solidFill>
                      <a:sysClr val="window" lastClr="FFFFFF"/>
                    </a:solidFill>
                    <a:ln>
                      <a:solidFill>
                        <a:sysClr val="window" lastClr="FFFFFF">
                          <a:lumMod val="6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lumMod val="65000"/>
                            </a:schemeClr>
                          </a:solidFill>
                          <a:latin typeface="+mn-lt"/>
                          <a:ea typeface="+mn-ea"/>
                          <a:cs typeface="+mn-cs"/>
                        </a:defRPr>
                      </a:pPr>
                      <a:endParaRPr lang="en-US"/>
                    </a:p>
                  </c:txPr>
                  <c:dLblPos val="b"/>
                  <c:showLegendKey val="0"/>
                  <c:showVal val="1"/>
                  <c:showCatName val="0"/>
                  <c:showSerName val="0"/>
                  <c:showPercent val="0"/>
                  <c:showBubbleSize val="0"/>
                  <c:showLeaderLines val="0"/>
                  <c:extLst>
                    <c:ext uri="{CE6537A1-D6FC-4f65-9D91-7224C49458BB}">
                      <c15:spPr xmlns:c15="http://schemas.microsoft.com/office/drawing/2012/chart">
                        <a:prstGeom prst="wedgeRectCallout">
                          <a:avLst/>
                        </a:prstGeom>
                        <a:noFill/>
                        <a:ln>
                          <a:noFill/>
                        </a:ln>
                      </c15:spPr>
                      <c15:showLeaderLines val="0"/>
                    </c:ext>
                  </c:extLst>
                </c:dLbls>
                <c:cat>
                  <c:strRef>
                    <c:extLst>
                      <c:ext uri="{02D57815-91ED-43cb-92C2-25804820EDAC}">
                        <c15:fullRef>
                          <c15:sqref>'MTBF graph_CR51'!$B$6:$B$30</c15:sqref>
                        </c15:fullRef>
                        <c15:formulaRef>
                          <c15:sqref>'MTBF graph_CR51'!$B$16:$B$30</c15:sqref>
                        </c15:formulaRef>
                      </c:ext>
                    </c:extLst>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uri="{02D57815-91ED-43cb-92C2-25804820EDAC}">
                        <c15:fullRef>
                          <c15:sqref>'MTBF graph_CR51'!$K$6:$K$30</c15:sqref>
                        </c15:fullRef>
                        <c15:formulaRef>
                          <c15:sqref>'MTBF graph_CR51'!$K$16:$K$30</c15:sqref>
                        </c15:formulaRef>
                      </c:ext>
                    </c:extLst>
                    <c:numCache>
                      <c:formatCode>0.0</c:formatCode>
                      <c:ptCount val="15"/>
                      <c:pt idx="0">
                        <c:v>0</c:v>
                      </c:pt>
                      <c:pt idx="1">
                        <c:v>0</c:v>
                      </c:pt>
                      <c:pt idx="2">
                        <c:v>0</c:v>
                      </c:pt>
                      <c:pt idx="3">
                        <c:v>0</c:v>
                      </c:pt>
                      <c:pt idx="4">
                        <c:v>0</c:v>
                      </c:pt>
                      <c:pt idx="5">
                        <c:v>0</c:v>
                      </c:pt>
                      <c:pt idx="6">
                        <c:v>0</c:v>
                      </c:pt>
                      <c:pt idx="7">
                        <c:v>0</c:v>
                      </c:pt>
                      <c:pt idx="8">
                        <c:v>0</c:v>
                      </c:pt>
                      <c:pt idx="9">
                        <c:v>0</c:v>
                      </c:pt>
                      <c:pt idx="10" formatCode="0">
                        <c:v>0</c:v>
                      </c:pt>
                      <c:pt idx="11" formatCode="0">
                        <c:v>0</c:v>
                      </c:pt>
                      <c:pt idx="12" formatCode="0">
                        <c:v>0</c:v>
                      </c:pt>
                      <c:pt idx="13" formatCode="0">
                        <c:v>0</c:v>
                      </c:pt>
                      <c:pt idx="14" formatCode="0">
                        <c:v>0</c:v>
                      </c:pt>
                    </c:numCache>
                  </c:numRef>
                </c:val>
                <c:smooth val="0"/>
                <c:extLst>
                  <c:ext uri="{02D57815-91ED-43cb-92C2-25804820EDAC}">
                    <c15:categoryFilterExceptions>
                      <c15:categoryFilterException>
                        <c15:sqref>'MTBF graph_CR51'!$K$10</c15:sqref>
                        <c15:dLbl>
                          <c:idx val="-1"/>
                          <c:layout>
                            <c:manualLayout>
                              <c:x val="-3.7030727160750919E-2"/>
                              <c:y val="-4.632941916023020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0-1C04-4C8B-BD99-C84600EAC71B}"/>
                            </c:ext>
                          </c:extLst>
                        </c15:dLbl>
                      </c15:categoryFilterException>
                      <c15:categoryFilterException>
                        <c15:sqref>'MTBF graph_CR51'!$K$11</c15:sqref>
                        <c15:dLbl>
                          <c:idx val="-1"/>
                          <c:layout>
                            <c:manualLayout>
                              <c:x val="-3.889621693125013E-2"/>
                              <c:y val="-4.9529629331832435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1-1C04-4C8B-BD99-C84600EAC71B}"/>
                            </c:ext>
                          </c:extLst>
                        </c15:dLbl>
                      </c15:categoryFilterException>
                      <c15:categoryFilterException>
                        <c15:sqref>'MTBF graph_CR51'!$K$12</c15:sqref>
                        <c15:dLbl>
                          <c:idx val="-1"/>
                          <c:layout>
                            <c:manualLayout>
                              <c:x val="-5.9406708729883011E-2"/>
                              <c:y val="-3.7653563278960141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2-1C04-4C8B-BD99-C84600EAC71B}"/>
                            </c:ext>
                          </c:extLst>
                        </c15:dLbl>
                      </c15:categoryFilterException>
                      <c15:categoryFilterException>
                        <c15:sqref>'MTBF graph_CR51'!$K$13</c15:sqref>
                        <c15:dLbl>
                          <c:idx val="-1"/>
                          <c:layout>
                            <c:manualLayout>
                              <c:x val="-3.8090385685576218E-2"/>
                              <c:y val="-4.3961108767165399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3-1C04-4C8B-BD99-C84600EAC71B}"/>
                            </c:ext>
                          </c:extLst>
                        </c15:dLbl>
                      </c15:categoryFilterException>
                      <c15:categoryFilterException>
                        <c15:sqref>'MTBF graph_CR51'!$K$15</c15:sqref>
                        <c15:dLbl>
                          <c:idx val="-1"/>
                          <c:layout>
                            <c:manualLayout>
                              <c:x val="-5.7236945895289312E-2"/>
                              <c:y val="-5.3464580783886072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4-1C04-4C8B-BD99-C84600EAC71B}"/>
                            </c:ext>
                          </c:extLst>
                        </c15:dLbl>
                      </c15:categoryFilterException>
                    </c15:categoryFilterExceptions>
                  </c:ext>
                  <c:ext xmlns:c16="http://schemas.microsoft.com/office/drawing/2014/chart" uri="{C3380CC4-5D6E-409C-BE32-E72D297353CC}">
                    <c16:uniqueId val="{00000007-A78A-424A-B219-74D5C67629DB}"/>
                  </c:ext>
                </c:extLst>
              </c15:ser>
            </c15:filteredLineSeries>
          </c:ext>
        </c:extLst>
      </c:lineChart>
      <c:catAx>
        <c:axId val="92379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5392"/>
        <c:crosses val="autoZero"/>
        <c:auto val="1"/>
        <c:lblAlgn val="ctr"/>
        <c:lblOffset val="100"/>
        <c:noMultiLvlLbl val="0"/>
      </c:catAx>
      <c:valAx>
        <c:axId val="923795392"/>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MTBF [hrs]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3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System Utilization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5.3757742648366552E-2"/>
          <c:y val="0.11959692153634756"/>
          <c:w val="0.92868062463674761"/>
          <c:h val="0.73183917688267974"/>
        </c:manualLayout>
      </c:layout>
      <c:lineChart>
        <c:grouping val="standard"/>
        <c:varyColors val="0"/>
        <c:ser>
          <c:idx val="0"/>
          <c:order val="0"/>
          <c:tx>
            <c:strRef>
              <c:f>'AV&amp;Utilization'!$X$4</c:f>
              <c:strCache>
                <c:ptCount val="1"/>
                <c:pt idx="0">
                  <c:v>SEC</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'AV&amp;Utilization'!$B$6:$B$25</c:f>
              <c:numCache>
                <c:formatCode>General</c:formatCode>
                <c:ptCount val="20"/>
                <c:pt idx="0">
                  <c:v>2430</c:v>
                </c:pt>
                <c:pt idx="1">
                  <c:v>2431</c:v>
                </c:pt>
                <c:pt idx="2">
                  <c:v>2432</c:v>
                </c:pt>
                <c:pt idx="3">
                  <c:v>2433</c:v>
                </c:pt>
                <c:pt idx="4">
                  <c:v>2434</c:v>
                </c:pt>
                <c:pt idx="5">
                  <c:v>2435</c:v>
                </c:pt>
                <c:pt idx="6">
                  <c:v>2436</c:v>
                </c:pt>
                <c:pt idx="7">
                  <c:v>2437</c:v>
                </c:pt>
                <c:pt idx="8">
                  <c:v>2438</c:v>
                </c:pt>
                <c:pt idx="9">
                  <c:v>2439</c:v>
                </c:pt>
                <c:pt idx="10">
                  <c:v>2440</c:v>
                </c:pt>
                <c:pt idx="11">
                  <c:v>2441</c:v>
                </c:pt>
                <c:pt idx="12">
                  <c:v>2442</c:v>
                </c:pt>
                <c:pt idx="13">
                  <c:v>2443</c:v>
                </c:pt>
                <c:pt idx="14">
                  <c:v>2444</c:v>
                </c:pt>
                <c:pt idx="15">
                  <c:v>2445</c:v>
                </c:pt>
                <c:pt idx="16">
                  <c:v>2446</c:v>
                </c:pt>
                <c:pt idx="17">
                  <c:v>2447</c:v>
                </c:pt>
                <c:pt idx="18">
                  <c:v>2448</c:v>
                </c:pt>
                <c:pt idx="19">
                  <c:v>2449</c:v>
                </c:pt>
              </c:numCache>
            </c:numRef>
          </c:cat>
          <c:val>
            <c:numRef>
              <c:f>'AV&amp;Utilization'!$X$6:$X$25</c:f>
              <c:numCache>
                <c:formatCode>0.0%</c:formatCode>
                <c:ptCount val="20"/>
                <c:pt idx="7">
                  <c:v>0</c:v>
                </c:pt>
                <c:pt idx="8">
                  <c:v>0</c:v>
                </c:pt>
                <c:pt idx="9">
                  <c:v>0</c:v>
                </c:pt>
                <c:pt idx="10">
                  <c:v>0</c:v>
                </c:pt>
                <c:pt idx="11">
                  <c:v>0</c:v>
                </c:pt>
                <c:pt idx="12">
                  <c:v>0</c:v>
                </c:pt>
                <c:pt idx="13">
                  <c:v>0</c:v>
                </c:pt>
                <c:pt idx="14">
                  <c:v>0</c:v>
                </c:pt>
                <c:pt idx="15">
                  <c:v>0</c:v>
                </c:pt>
                <c:pt idx="16">
                  <c:v>0</c:v>
                </c:pt>
                <c:pt idx="17">
                  <c:v>0</c:v>
                </c:pt>
                <c:pt idx="18">
                  <c:v>0</c:v>
                </c:pt>
                <c:pt idx="19">
                  <c:v>0</c:v>
                </c:pt>
              </c:numCache>
            </c:numRef>
          </c:val>
          <c:smooth val="0"/>
          <c:extLst>
            <c:ext xmlns:c16="http://schemas.microsoft.com/office/drawing/2014/chart" uri="{C3380CC4-5D6E-409C-BE32-E72D297353CC}">
              <c16:uniqueId val="{00000000-4197-424A-9F59-2F763CC4C950}"/>
            </c:ext>
          </c:extLst>
        </c:ser>
        <c:ser>
          <c:idx val="1"/>
          <c:order val="1"/>
          <c:tx>
            <c:strRef>
              <c:f>'AV&amp;Utilization'!$Y$4</c:f>
              <c:strCache>
                <c:ptCount val="1"/>
                <c:pt idx="0">
                  <c:v>tsmc</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numRef>
              <c:f>'AV&amp;Utilization'!$B$6:$B$25</c:f>
              <c:numCache>
                <c:formatCode>General</c:formatCode>
                <c:ptCount val="20"/>
                <c:pt idx="0">
                  <c:v>2430</c:v>
                </c:pt>
                <c:pt idx="1">
                  <c:v>2431</c:v>
                </c:pt>
                <c:pt idx="2">
                  <c:v>2432</c:v>
                </c:pt>
                <c:pt idx="3">
                  <c:v>2433</c:v>
                </c:pt>
                <c:pt idx="4">
                  <c:v>2434</c:v>
                </c:pt>
                <c:pt idx="5">
                  <c:v>2435</c:v>
                </c:pt>
                <c:pt idx="6">
                  <c:v>2436</c:v>
                </c:pt>
                <c:pt idx="7">
                  <c:v>2437</c:v>
                </c:pt>
                <c:pt idx="8">
                  <c:v>2438</c:v>
                </c:pt>
                <c:pt idx="9">
                  <c:v>2439</c:v>
                </c:pt>
                <c:pt idx="10">
                  <c:v>2440</c:v>
                </c:pt>
                <c:pt idx="11">
                  <c:v>2441</c:v>
                </c:pt>
                <c:pt idx="12">
                  <c:v>2442</c:v>
                </c:pt>
                <c:pt idx="13">
                  <c:v>2443</c:v>
                </c:pt>
                <c:pt idx="14">
                  <c:v>2444</c:v>
                </c:pt>
                <c:pt idx="15">
                  <c:v>2445</c:v>
                </c:pt>
                <c:pt idx="16">
                  <c:v>2446</c:v>
                </c:pt>
                <c:pt idx="17">
                  <c:v>2447</c:v>
                </c:pt>
                <c:pt idx="18">
                  <c:v>2448</c:v>
                </c:pt>
                <c:pt idx="19">
                  <c:v>2449</c:v>
                </c:pt>
              </c:numCache>
            </c:numRef>
          </c:cat>
          <c:val>
            <c:numRef>
              <c:f>'AV&amp;Utilization'!$Y$6:$Y$25</c:f>
              <c:numCache>
                <c:formatCode>0.0%</c:formatCode>
                <c:ptCount val="20"/>
                <c:pt idx="6">
                  <c:v>0</c:v>
                </c:pt>
                <c:pt idx="7">
                  <c:v>0</c:v>
                </c:pt>
                <c:pt idx="8">
                  <c:v>0</c:v>
                </c:pt>
                <c:pt idx="9">
                  <c:v>0</c:v>
                </c:pt>
                <c:pt idx="10">
                  <c:v>0</c:v>
                </c:pt>
                <c:pt idx="11">
                  <c:v>0</c:v>
                </c:pt>
                <c:pt idx="12">
                  <c:v>0</c:v>
                </c:pt>
                <c:pt idx="13">
                  <c:v>0</c:v>
                </c:pt>
                <c:pt idx="14">
                  <c:v>0</c:v>
                </c:pt>
                <c:pt idx="15">
                  <c:v>0</c:v>
                </c:pt>
                <c:pt idx="16">
                  <c:v>0</c:v>
                </c:pt>
                <c:pt idx="17">
                  <c:v>0</c:v>
                </c:pt>
                <c:pt idx="18">
                  <c:v>0</c:v>
                </c:pt>
                <c:pt idx="19">
                  <c:v>0</c:v>
                </c:pt>
              </c:numCache>
            </c:numRef>
          </c:val>
          <c:smooth val="0"/>
          <c:extLst>
            <c:ext xmlns:c16="http://schemas.microsoft.com/office/drawing/2014/chart" uri="{C3380CC4-5D6E-409C-BE32-E72D297353CC}">
              <c16:uniqueId val="{00000001-4197-424A-9F59-2F763CC4C950}"/>
            </c:ext>
          </c:extLst>
        </c:ser>
        <c:ser>
          <c:idx val="2"/>
          <c:order val="2"/>
          <c:tx>
            <c:strRef>
              <c:f>'AV&amp;Utilization'!$Z$4</c:f>
              <c:strCache>
                <c:ptCount val="1"/>
                <c:pt idx="0">
                  <c:v>Intel</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numRef>
              <c:f>'AV&amp;Utilization'!$B$6:$B$25</c:f>
              <c:numCache>
                <c:formatCode>General</c:formatCode>
                <c:ptCount val="20"/>
                <c:pt idx="0">
                  <c:v>2430</c:v>
                </c:pt>
                <c:pt idx="1">
                  <c:v>2431</c:v>
                </c:pt>
                <c:pt idx="2">
                  <c:v>2432</c:v>
                </c:pt>
                <c:pt idx="3">
                  <c:v>2433</c:v>
                </c:pt>
                <c:pt idx="4">
                  <c:v>2434</c:v>
                </c:pt>
                <c:pt idx="5">
                  <c:v>2435</c:v>
                </c:pt>
                <c:pt idx="6">
                  <c:v>2436</c:v>
                </c:pt>
                <c:pt idx="7">
                  <c:v>2437</c:v>
                </c:pt>
                <c:pt idx="8">
                  <c:v>2438</c:v>
                </c:pt>
                <c:pt idx="9">
                  <c:v>2439</c:v>
                </c:pt>
                <c:pt idx="10">
                  <c:v>2440</c:v>
                </c:pt>
                <c:pt idx="11">
                  <c:v>2441</c:v>
                </c:pt>
                <c:pt idx="12">
                  <c:v>2442</c:v>
                </c:pt>
                <c:pt idx="13">
                  <c:v>2443</c:v>
                </c:pt>
                <c:pt idx="14">
                  <c:v>2444</c:v>
                </c:pt>
                <c:pt idx="15">
                  <c:v>2445</c:v>
                </c:pt>
                <c:pt idx="16">
                  <c:v>2446</c:v>
                </c:pt>
                <c:pt idx="17">
                  <c:v>2447</c:v>
                </c:pt>
                <c:pt idx="18">
                  <c:v>2448</c:v>
                </c:pt>
                <c:pt idx="19">
                  <c:v>2449</c:v>
                </c:pt>
              </c:numCache>
            </c:numRef>
          </c:cat>
          <c:val>
            <c:numRef>
              <c:f>'AV&amp;Utilization'!$Z$6:$Z$25</c:f>
              <c:numCache>
                <c:formatCode>0.0%</c:formatCode>
                <c:ptCount val="2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numCache>
            </c:numRef>
          </c:val>
          <c:smooth val="0"/>
          <c:extLst>
            <c:ext xmlns:c16="http://schemas.microsoft.com/office/drawing/2014/chart" uri="{C3380CC4-5D6E-409C-BE32-E72D297353CC}">
              <c16:uniqueId val="{00000002-4197-424A-9F59-2F763CC4C950}"/>
            </c:ext>
          </c:extLst>
        </c:ser>
        <c:dLbls>
          <c:showLegendKey val="0"/>
          <c:showVal val="0"/>
          <c:showCatName val="0"/>
          <c:showSerName val="0"/>
          <c:showPercent val="0"/>
          <c:showBubbleSize val="0"/>
        </c:dLbls>
        <c:marker val="1"/>
        <c:smooth val="0"/>
        <c:axId val="508670600"/>
        <c:axId val="508669160"/>
      </c:lineChart>
      <c:catAx>
        <c:axId val="5086706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8669160"/>
        <c:crosses val="autoZero"/>
        <c:auto val="1"/>
        <c:lblAlgn val="ctr"/>
        <c:lblOffset val="100"/>
        <c:noMultiLvlLbl val="0"/>
      </c:catAx>
      <c:valAx>
        <c:axId val="50866916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86706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System Availability</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3"/>
          <c:order val="0"/>
          <c:tx>
            <c:strRef>
              <c:f>'AV&amp;Utilization'!$C$4</c:f>
              <c:strCache>
                <c:ptCount val="1"/>
                <c:pt idx="0">
                  <c:v>SEC</c:v>
                </c:pt>
              </c:strCache>
            </c:strRef>
          </c:tx>
          <c:spPr>
            <a:solidFill>
              <a:schemeClr val="accent1">
                <a:alpha val="40000"/>
              </a:schemeClr>
            </a:solidFill>
            <a:ln>
              <a:solidFill>
                <a:schemeClr val="accent1"/>
              </a:solidFill>
            </a:ln>
            <a:effectLst/>
          </c:spPr>
          <c:invertIfNegative val="0"/>
          <c:cat>
            <c:numRef>
              <c:f>'AV&amp;Utilization'!$B$6:$B$25</c:f>
              <c:numCache>
                <c:formatCode>General</c:formatCode>
                <c:ptCount val="20"/>
                <c:pt idx="0">
                  <c:v>2430</c:v>
                </c:pt>
                <c:pt idx="1">
                  <c:v>2431</c:v>
                </c:pt>
                <c:pt idx="2">
                  <c:v>2432</c:v>
                </c:pt>
                <c:pt idx="3">
                  <c:v>2433</c:v>
                </c:pt>
                <c:pt idx="4">
                  <c:v>2434</c:v>
                </c:pt>
                <c:pt idx="5">
                  <c:v>2435</c:v>
                </c:pt>
                <c:pt idx="6">
                  <c:v>2436</c:v>
                </c:pt>
                <c:pt idx="7">
                  <c:v>2437</c:v>
                </c:pt>
                <c:pt idx="8">
                  <c:v>2438</c:v>
                </c:pt>
                <c:pt idx="9">
                  <c:v>2439</c:v>
                </c:pt>
                <c:pt idx="10">
                  <c:v>2440</c:v>
                </c:pt>
                <c:pt idx="11">
                  <c:v>2441</c:v>
                </c:pt>
                <c:pt idx="12">
                  <c:v>2442</c:v>
                </c:pt>
                <c:pt idx="13">
                  <c:v>2443</c:v>
                </c:pt>
                <c:pt idx="14">
                  <c:v>2444</c:v>
                </c:pt>
                <c:pt idx="15">
                  <c:v>2445</c:v>
                </c:pt>
                <c:pt idx="16">
                  <c:v>2446</c:v>
                </c:pt>
                <c:pt idx="17">
                  <c:v>2447</c:v>
                </c:pt>
                <c:pt idx="18">
                  <c:v>2448</c:v>
                </c:pt>
                <c:pt idx="19">
                  <c:v>2449</c:v>
                </c:pt>
              </c:numCache>
            </c:numRef>
          </c:cat>
          <c:val>
            <c:numRef>
              <c:f>'AV&amp;Utilization'!$C$6:$C$25</c:f>
              <c:numCache>
                <c:formatCode>0.0%;\-0.0%;0.0%</c:formatCode>
                <c:ptCount val="20"/>
                <c:pt idx="7">
                  <c:v>0.60114065134640526</c:v>
                </c:pt>
                <c:pt idx="8">
                  <c:v>0.71222700193607213</c:v>
                </c:pt>
                <c:pt idx="9">
                  <c:v>0.40227275329597767</c:v>
                </c:pt>
                <c:pt idx="10">
                  <c:v>0.82842348800212362</c:v>
                </c:pt>
                <c:pt idx="11">
                  <c:v>0.93013681790122438</c:v>
                </c:pt>
                <c:pt idx="12">
                  <c:v>0.9476072353845405</c:v>
                </c:pt>
                <c:pt idx="13">
                  <c:v>0.95822054018608194</c:v>
                </c:pt>
                <c:pt idx="14">
                  <c:v>0.66800000000000004</c:v>
                </c:pt>
                <c:pt idx="15">
                  <c:v>0.89700000000000002</c:v>
                </c:pt>
                <c:pt idx="16">
                  <c:v>0.77</c:v>
                </c:pt>
                <c:pt idx="17">
                  <c:v>0.90400000000000003</c:v>
                </c:pt>
                <c:pt idx="18">
                  <c:v>0.73799999999999999</c:v>
                </c:pt>
                <c:pt idx="19">
                  <c:v>0.93799999999999994</c:v>
                </c:pt>
              </c:numCache>
            </c:numRef>
          </c:val>
          <c:extLst>
            <c:ext xmlns:c16="http://schemas.microsoft.com/office/drawing/2014/chart" uri="{C3380CC4-5D6E-409C-BE32-E72D297353CC}">
              <c16:uniqueId val="{00000003-4197-424A-9F59-2F763CC4C950}"/>
            </c:ext>
          </c:extLst>
        </c:ser>
        <c:ser>
          <c:idx val="4"/>
          <c:order val="1"/>
          <c:tx>
            <c:strRef>
              <c:f>'AV&amp;Utilization'!$F$4</c:f>
              <c:strCache>
                <c:ptCount val="1"/>
                <c:pt idx="0">
                  <c:v>tsmc</c:v>
                </c:pt>
              </c:strCache>
            </c:strRef>
          </c:tx>
          <c:spPr>
            <a:solidFill>
              <a:schemeClr val="accent2">
                <a:alpha val="40000"/>
              </a:schemeClr>
            </a:solidFill>
            <a:ln>
              <a:solidFill>
                <a:schemeClr val="accent2"/>
              </a:solidFill>
            </a:ln>
            <a:effectLst/>
          </c:spPr>
          <c:invertIfNegative val="0"/>
          <c:cat>
            <c:numRef>
              <c:f>'AV&amp;Utilization'!$B$6:$B$25</c:f>
              <c:numCache>
                <c:formatCode>General</c:formatCode>
                <c:ptCount val="20"/>
                <c:pt idx="0">
                  <c:v>2430</c:v>
                </c:pt>
                <c:pt idx="1">
                  <c:v>2431</c:v>
                </c:pt>
                <c:pt idx="2">
                  <c:v>2432</c:v>
                </c:pt>
                <c:pt idx="3">
                  <c:v>2433</c:v>
                </c:pt>
                <c:pt idx="4">
                  <c:v>2434</c:v>
                </c:pt>
                <c:pt idx="5">
                  <c:v>2435</c:v>
                </c:pt>
                <c:pt idx="6">
                  <c:v>2436</c:v>
                </c:pt>
                <c:pt idx="7">
                  <c:v>2437</c:v>
                </c:pt>
                <c:pt idx="8">
                  <c:v>2438</c:v>
                </c:pt>
                <c:pt idx="9">
                  <c:v>2439</c:v>
                </c:pt>
                <c:pt idx="10">
                  <c:v>2440</c:v>
                </c:pt>
                <c:pt idx="11">
                  <c:v>2441</c:v>
                </c:pt>
                <c:pt idx="12">
                  <c:v>2442</c:v>
                </c:pt>
                <c:pt idx="13">
                  <c:v>2443</c:v>
                </c:pt>
                <c:pt idx="14">
                  <c:v>2444</c:v>
                </c:pt>
                <c:pt idx="15">
                  <c:v>2445</c:v>
                </c:pt>
                <c:pt idx="16">
                  <c:v>2446</c:v>
                </c:pt>
                <c:pt idx="17">
                  <c:v>2447</c:v>
                </c:pt>
                <c:pt idx="18">
                  <c:v>2448</c:v>
                </c:pt>
                <c:pt idx="19">
                  <c:v>2449</c:v>
                </c:pt>
              </c:numCache>
            </c:numRef>
          </c:cat>
          <c:val>
            <c:numRef>
              <c:f>'AV&amp;Utilization'!$F$6:$F$25</c:f>
              <c:numCache>
                <c:formatCode>0.0%;\-0.0%;0.0%</c:formatCode>
                <c:ptCount val="20"/>
                <c:pt idx="6">
                  <c:v>0.65674629930636064</c:v>
                </c:pt>
                <c:pt idx="7">
                  <c:v>1.9363166995187538E-2</c:v>
                </c:pt>
                <c:pt idx="8">
                  <c:v>0.11357268988917837</c:v>
                </c:pt>
                <c:pt idx="9">
                  <c:v>0.89038022544453199</c:v>
                </c:pt>
                <c:pt idx="10">
                  <c:v>2.0728447318265408E-2</c:v>
                </c:pt>
                <c:pt idx="11">
                  <c:v>0.74379114608176622</c:v>
                </c:pt>
                <c:pt idx="12">
                  <c:v>0.89148359159851687</c:v>
                </c:pt>
                <c:pt idx="13">
                  <c:v>0.94513854222730942</c:v>
                </c:pt>
                <c:pt idx="14">
                  <c:v>0.98199999999999998</c:v>
                </c:pt>
                <c:pt idx="15">
                  <c:v>0.879</c:v>
                </c:pt>
                <c:pt idx="16">
                  <c:v>0.88</c:v>
                </c:pt>
                <c:pt idx="17">
                  <c:v>0.91700000000000004</c:v>
                </c:pt>
                <c:pt idx="18">
                  <c:v>0.41899999999999998</c:v>
                </c:pt>
                <c:pt idx="19">
                  <c:v>0.59199999999999997</c:v>
                </c:pt>
              </c:numCache>
            </c:numRef>
          </c:val>
          <c:extLst>
            <c:ext xmlns:c16="http://schemas.microsoft.com/office/drawing/2014/chart" uri="{C3380CC4-5D6E-409C-BE32-E72D297353CC}">
              <c16:uniqueId val="{00000004-4197-424A-9F59-2F763CC4C950}"/>
            </c:ext>
          </c:extLst>
        </c:ser>
        <c:ser>
          <c:idx val="5"/>
          <c:order val="2"/>
          <c:tx>
            <c:strRef>
              <c:f>'AV&amp;Utilization'!$I$4</c:f>
              <c:strCache>
                <c:ptCount val="1"/>
                <c:pt idx="0">
                  <c:v>Intel</c:v>
                </c:pt>
              </c:strCache>
            </c:strRef>
          </c:tx>
          <c:spPr>
            <a:solidFill>
              <a:schemeClr val="accent3">
                <a:alpha val="40000"/>
              </a:schemeClr>
            </a:solidFill>
            <a:ln>
              <a:solidFill>
                <a:schemeClr val="accent3"/>
              </a:solidFill>
            </a:ln>
            <a:effectLst/>
          </c:spPr>
          <c:invertIfNegative val="0"/>
          <c:cat>
            <c:numRef>
              <c:f>'AV&amp;Utilization'!$B$6:$B$25</c:f>
              <c:numCache>
                <c:formatCode>General</c:formatCode>
                <c:ptCount val="20"/>
                <c:pt idx="0">
                  <c:v>2430</c:v>
                </c:pt>
                <c:pt idx="1">
                  <c:v>2431</c:v>
                </c:pt>
                <c:pt idx="2">
                  <c:v>2432</c:v>
                </c:pt>
                <c:pt idx="3">
                  <c:v>2433</c:v>
                </c:pt>
                <c:pt idx="4">
                  <c:v>2434</c:v>
                </c:pt>
                <c:pt idx="5">
                  <c:v>2435</c:v>
                </c:pt>
                <c:pt idx="6">
                  <c:v>2436</c:v>
                </c:pt>
                <c:pt idx="7">
                  <c:v>2437</c:v>
                </c:pt>
                <c:pt idx="8">
                  <c:v>2438</c:v>
                </c:pt>
                <c:pt idx="9">
                  <c:v>2439</c:v>
                </c:pt>
                <c:pt idx="10">
                  <c:v>2440</c:v>
                </c:pt>
                <c:pt idx="11">
                  <c:v>2441</c:v>
                </c:pt>
                <c:pt idx="12">
                  <c:v>2442</c:v>
                </c:pt>
                <c:pt idx="13">
                  <c:v>2443</c:v>
                </c:pt>
                <c:pt idx="14">
                  <c:v>2444</c:v>
                </c:pt>
                <c:pt idx="15">
                  <c:v>2445</c:v>
                </c:pt>
                <c:pt idx="16">
                  <c:v>2446</c:v>
                </c:pt>
                <c:pt idx="17">
                  <c:v>2447</c:v>
                </c:pt>
                <c:pt idx="18">
                  <c:v>2448</c:v>
                </c:pt>
                <c:pt idx="19">
                  <c:v>2449</c:v>
                </c:pt>
              </c:numCache>
            </c:numRef>
          </c:cat>
          <c:val>
            <c:numRef>
              <c:f>'AV&amp;Utilization'!$I$6:$I$25</c:f>
              <c:numCache>
                <c:formatCode>0.0%;\-0.0%;0.0%</c:formatCode>
                <c:ptCount val="20"/>
                <c:pt idx="0">
                  <c:v>0.99406391780821912</c:v>
                </c:pt>
                <c:pt idx="1">
                  <c:v>0.4444035904910989</c:v>
                </c:pt>
                <c:pt idx="2">
                  <c:v>0.35149470833333335</c:v>
                </c:pt>
                <c:pt idx="3">
                  <c:v>0.67238276328846269</c:v>
                </c:pt>
                <c:pt idx="4">
                  <c:v>0.3950581729893779</c:v>
                </c:pt>
                <c:pt idx="5">
                  <c:v>0.47361772619047621</c:v>
                </c:pt>
                <c:pt idx="6">
                  <c:v>0.89162903540718319</c:v>
                </c:pt>
                <c:pt idx="7">
                  <c:v>7.1628636904761914E-2</c:v>
                </c:pt>
                <c:pt idx="8">
                  <c:v>6.9674556006880009E-2</c:v>
                </c:pt>
                <c:pt idx="9">
                  <c:v>0.24509702346145681</c:v>
                </c:pt>
                <c:pt idx="10">
                  <c:v>0.93216502964799608</c:v>
                </c:pt>
                <c:pt idx="11">
                  <c:v>0.89587331105987611</c:v>
                </c:pt>
                <c:pt idx="12">
                  <c:v>0.60387802916895816</c:v>
                </c:pt>
                <c:pt idx="13">
                  <c:v>0.40637968498755117</c:v>
                </c:pt>
                <c:pt idx="14">
                  <c:v>0.65600000000000003</c:v>
                </c:pt>
                <c:pt idx="15">
                  <c:v>0.90100000000000002</c:v>
                </c:pt>
                <c:pt idx="16">
                  <c:v>0.96399999999999997</c:v>
                </c:pt>
                <c:pt idx="17">
                  <c:v>0.66600000000000004</c:v>
                </c:pt>
                <c:pt idx="18">
                  <c:v>0.496</c:v>
                </c:pt>
                <c:pt idx="19">
                  <c:v>0.79700000000000004</c:v>
                </c:pt>
              </c:numCache>
            </c:numRef>
          </c:val>
          <c:extLst>
            <c:ext xmlns:c16="http://schemas.microsoft.com/office/drawing/2014/chart" uri="{C3380CC4-5D6E-409C-BE32-E72D297353CC}">
              <c16:uniqueId val="{00000005-4197-424A-9F59-2F763CC4C950}"/>
            </c:ext>
          </c:extLst>
        </c:ser>
        <c:dLbls>
          <c:showLegendKey val="0"/>
          <c:showVal val="0"/>
          <c:showCatName val="0"/>
          <c:showSerName val="0"/>
          <c:showPercent val="0"/>
          <c:showBubbleSize val="0"/>
        </c:dLbls>
        <c:gapWidth val="50"/>
        <c:axId val="508670600"/>
        <c:axId val="508669160"/>
      </c:barChart>
      <c:catAx>
        <c:axId val="5086706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8669160"/>
        <c:crosses val="autoZero"/>
        <c:auto val="1"/>
        <c:lblAlgn val="ctr"/>
        <c:lblOffset val="100"/>
        <c:noMultiLvlLbl val="0"/>
      </c:catAx>
      <c:valAx>
        <c:axId val="50866916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0%;\-0.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86706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Intel vs RoW (Availability)</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6974026640336923E-2"/>
          <c:y val="0.11818971958724189"/>
          <c:w val="0.87195157693874614"/>
          <c:h val="0.68600058913827733"/>
        </c:manualLayout>
      </c:layout>
      <c:barChart>
        <c:barDir val="col"/>
        <c:grouping val="clustered"/>
        <c:varyColors val="0"/>
        <c:ser>
          <c:idx val="0"/>
          <c:order val="0"/>
          <c:tx>
            <c:strRef>
              <c:f>'AV&amp;Utilization'!$I$3</c:f>
              <c:strCache>
                <c:ptCount val="1"/>
                <c:pt idx="0">
                  <c:v>Intel 1wma</c:v>
                </c:pt>
              </c:strCache>
            </c:strRef>
          </c:tx>
          <c:spPr>
            <a:solidFill>
              <a:schemeClr val="accent1">
                <a:alpha val="40000"/>
              </a:schemeClr>
            </a:solidFill>
            <a:ln>
              <a:solidFill>
                <a:schemeClr val="accent1"/>
              </a:solidFill>
            </a:ln>
            <a:effectLst/>
          </c:spPr>
          <c:invertIfNegative val="0"/>
          <c:dPt>
            <c:idx val="13"/>
            <c:invertIfNegative val="0"/>
            <c:bubble3D val="0"/>
            <c:spPr>
              <a:pattFill prst="pct20">
                <a:fgClr>
                  <a:schemeClr val="accent1"/>
                </a:fgClr>
                <a:bgClr>
                  <a:schemeClr val="bg1"/>
                </a:bgClr>
              </a:pattFill>
              <a:ln>
                <a:solidFill>
                  <a:schemeClr val="accent1"/>
                </a:solidFill>
              </a:ln>
              <a:effectLst/>
            </c:spPr>
            <c:extLst>
              <c:ext xmlns:c16="http://schemas.microsoft.com/office/drawing/2014/chart" uri="{C3380CC4-5D6E-409C-BE32-E72D297353CC}">
                <c16:uniqueId val="{00000001-229B-4BA0-A314-8095DFF3035E}"/>
              </c:ext>
            </c:extLst>
          </c:dPt>
          <c:dPt>
            <c:idx val="14"/>
            <c:invertIfNegative val="0"/>
            <c:bubble3D val="0"/>
            <c:spPr>
              <a:pattFill prst="pct20">
                <a:fgClr>
                  <a:schemeClr val="accent1"/>
                </a:fgClr>
                <a:bgClr>
                  <a:schemeClr val="bg1"/>
                </a:bgClr>
              </a:pattFill>
              <a:ln>
                <a:solidFill>
                  <a:schemeClr val="accent1"/>
                </a:solidFill>
              </a:ln>
              <a:effectLst/>
            </c:spPr>
            <c:extLst>
              <c:ext xmlns:c16="http://schemas.microsoft.com/office/drawing/2014/chart" uri="{C3380CC4-5D6E-409C-BE32-E72D297353CC}">
                <c16:uniqueId val="{00000002-229B-4BA0-A314-8095DFF3035E}"/>
              </c:ext>
            </c:extLst>
          </c:dPt>
          <c:cat>
            <c:strRef>
              <c:f>'AV&amp;Utilization'!$A$14:$A$28</c:f>
              <c:strCache>
                <c:ptCount val="15"/>
                <c:pt idx="0">
                  <c:v>wk2438</c:v>
                </c:pt>
                <c:pt idx="1">
                  <c:v>wk2439</c:v>
                </c:pt>
                <c:pt idx="2">
                  <c:v>wk2440</c:v>
                </c:pt>
                <c:pt idx="3">
                  <c:v>wk2441</c:v>
                </c:pt>
                <c:pt idx="4">
                  <c:v>wk2442</c:v>
                </c:pt>
                <c:pt idx="5">
                  <c:v>wk2443</c:v>
                </c:pt>
                <c:pt idx="6">
                  <c:v>wk2444</c:v>
                </c:pt>
                <c:pt idx="7">
                  <c:v>wk2445</c:v>
                </c:pt>
                <c:pt idx="8">
                  <c:v>wk2446</c:v>
                </c:pt>
                <c:pt idx="9">
                  <c:v>wk2447</c:v>
                </c:pt>
                <c:pt idx="10">
                  <c:v>wk2448</c:v>
                </c:pt>
                <c:pt idx="11">
                  <c:v>wk2449</c:v>
                </c:pt>
                <c:pt idx="12">
                  <c:v>wk2450</c:v>
                </c:pt>
                <c:pt idx="13">
                  <c:v>wk2451</c:v>
                </c:pt>
                <c:pt idx="14">
                  <c:v>wk2452</c:v>
                </c:pt>
              </c:strCache>
            </c:strRef>
          </c:cat>
          <c:val>
            <c:numRef>
              <c:f>'AV&amp;Utilization'!$I$14:$I$28</c:f>
              <c:numCache>
                <c:formatCode>0.0%;\-0.0%;0.0%</c:formatCode>
                <c:ptCount val="15"/>
                <c:pt idx="0">
                  <c:v>6.9674556006880009E-2</c:v>
                </c:pt>
                <c:pt idx="1">
                  <c:v>0.24509702346145681</c:v>
                </c:pt>
                <c:pt idx="2">
                  <c:v>0.93216502964799608</c:v>
                </c:pt>
                <c:pt idx="3">
                  <c:v>0.89587331105987611</c:v>
                </c:pt>
                <c:pt idx="4">
                  <c:v>0.60387802916895816</c:v>
                </c:pt>
                <c:pt idx="5">
                  <c:v>0.40637968498755117</c:v>
                </c:pt>
                <c:pt idx="6">
                  <c:v>0.65600000000000003</c:v>
                </c:pt>
                <c:pt idx="7">
                  <c:v>0.90100000000000002</c:v>
                </c:pt>
                <c:pt idx="8">
                  <c:v>0.96399999999999997</c:v>
                </c:pt>
                <c:pt idx="9">
                  <c:v>0.66600000000000004</c:v>
                </c:pt>
                <c:pt idx="10">
                  <c:v>0.496</c:v>
                </c:pt>
                <c:pt idx="11">
                  <c:v>0.79700000000000004</c:v>
                </c:pt>
                <c:pt idx="12">
                  <c:v>0.88900000000000001</c:v>
                </c:pt>
                <c:pt idx="13">
                  <c:v>0.85699999999999998</c:v>
                </c:pt>
                <c:pt idx="14">
                  <c:v>0.85699999999999998</c:v>
                </c:pt>
              </c:numCache>
            </c:numRef>
          </c:val>
          <c:extLst>
            <c:ext xmlns:c16="http://schemas.microsoft.com/office/drawing/2014/chart" uri="{C3380CC4-5D6E-409C-BE32-E72D297353CC}">
              <c16:uniqueId val="{00000000-F797-4338-A1CB-4A62186911A8}"/>
            </c:ext>
          </c:extLst>
        </c:ser>
        <c:ser>
          <c:idx val="2"/>
          <c:order val="3"/>
          <c:tx>
            <c:strRef>
              <c:f>'AV&amp;Utilization'!$L$3</c:f>
              <c:strCache>
                <c:ptCount val="1"/>
                <c:pt idx="0">
                  <c:v>RoW 1wma</c:v>
                </c:pt>
              </c:strCache>
            </c:strRef>
          </c:tx>
          <c:spPr>
            <a:solidFill>
              <a:schemeClr val="accent3">
                <a:alpha val="40000"/>
              </a:schemeClr>
            </a:solidFill>
            <a:ln>
              <a:solidFill>
                <a:schemeClr val="accent3"/>
              </a:solidFill>
            </a:ln>
            <a:effectLst/>
          </c:spPr>
          <c:invertIfNegative val="0"/>
          <c:dPt>
            <c:idx val="13"/>
            <c:invertIfNegative val="0"/>
            <c:bubble3D val="0"/>
            <c:spPr>
              <a:pattFill prst="pct20">
                <a:fgClr>
                  <a:schemeClr val="accent3"/>
                </a:fgClr>
                <a:bgClr>
                  <a:schemeClr val="bg1"/>
                </a:bgClr>
              </a:pattFill>
              <a:ln>
                <a:solidFill>
                  <a:schemeClr val="accent3"/>
                </a:solidFill>
              </a:ln>
              <a:effectLst/>
            </c:spPr>
            <c:extLst>
              <c:ext xmlns:c16="http://schemas.microsoft.com/office/drawing/2014/chart" uri="{C3380CC4-5D6E-409C-BE32-E72D297353CC}">
                <c16:uniqueId val="{00000003-229B-4BA0-A314-8095DFF3035E}"/>
              </c:ext>
            </c:extLst>
          </c:dPt>
          <c:dPt>
            <c:idx val="14"/>
            <c:invertIfNegative val="0"/>
            <c:bubble3D val="0"/>
            <c:spPr>
              <a:pattFill prst="pct20">
                <a:fgClr>
                  <a:schemeClr val="accent3"/>
                </a:fgClr>
                <a:bgClr>
                  <a:schemeClr val="bg1"/>
                </a:bgClr>
              </a:pattFill>
              <a:ln>
                <a:solidFill>
                  <a:schemeClr val="accent3"/>
                </a:solidFill>
              </a:ln>
              <a:effectLst/>
            </c:spPr>
            <c:extLst>
              <c:ext xmlns:c16="http://schemas.microsoft.com/office/drawing/2014/chart" uri="{C3380CC4-5D6E-409C-BE32-E72D297353CC}">
                <c16:uniqueId val="{00000004-229B-4BA0-A314-8095DFF3035E}"/>
              </c:ext>
            </c:extLst>
          </c:dPt>
          <c:cat>
            <c:strRef>
              <c:f>'AV&amp;Utilization'!$A$14:$A$28</c:f>
              <c:strCache>
                <c:ptCount val="15"/>
                <c:pt idx="0">
                  <c:v>wk2438</c:v>
                </c:pt>
                <c:pt idx="1">
                  <c:v>wk2439</c:v>
                </c:pt>
                <c:pt idx="2">
                  <c:v>wk2440</c:v>
                </c:pt>
                <c:pt idx="3">
                  <c:v>wk2441</c:v>
                </c:pt>
                <c:pt idx="4">
                  <c:v>wk2442</c:v>
                </c:pt>
                <c:pt idx="5">
                  <c:v>wk2443</c:v>
                </c:pt>
                <c:pt idx="6">
                  <c:v>wk2444</c:v>
                </c:pt>
                <c:pt idx="7">
                  <c:v>wk2445</c:v>
                </c:pt>
                <c:pt idx="8">
                  <c:v>wk2446</c:v>
                </c:pt>
                <c:pt idx="9">
                  <c:v>wk2447</c:v>
                </c:pt>
                <c:pt idx="10">
                  <c:v>wk2448</c:v>
                </c:pt>
                <c:pt idx="11">
                  <c:v>wk2449</c:v>
                </c:pt>
                <c:pt idx="12">
                  <c:v>wk2450</c:v>
                </c:pt>
                <c:pt idx="13">
                  <c:v>wk2451</c:v>
                </c:pt>
                <c:pt idx="14">
                  <c:v>wk2452</c:v>
                </c:pt>
              </c:strCache>
            </c:strRef>
          </c:cat>
          <c:val>
            <c:numRef>
              <c:f>'AV&amp;Utilization'!$L$14:$L$28</c:f>
              <c:numCache>
                <c:formatCode>0.0%;\-0.0%;0.0%</c:formatCode>
                <c:ptCount val="15"/>
                <c:pt idx="0">
                  <c:v>0.44535526606744608</c:v>
                </c:pt>
                <c:pt idx="1">
                  <c:v>0.64168446823377667</c:v>
                </c:pt>
                <c:pt idx="2">
                  <c:v>0.42763526339899216</c:v>
                </c:pt>
                <c:pt idx="3">
                  <c:v>0.8494310585473287</c:v>
                </c:pt>
                <c:pt idx="4">
                  <c:v>0.92535345731113305</c:v>
                </c:pt>
                <c:pt idx="5">
                  <c:v>0.96031360749793959</c:v>
                </c:pt>
                <c:pt idx="6">
                  <c:v>0.82273910442705245</c:v>
                </c:pt>
                <c:pt idx="7">
                  <c:v>0.89146680224526864</c:v>
                </c:pt>
                <c:pt idx="8">
                  <c:v>0.82276528942375693</c:v>
                </c:pt>
                <c:pt idx="9">
                  <c:v>0.91054900843779019</c:v>
                </c:pt>
                <c:pt idx="10">
                  <c:v>0.58669467241935358</c:v>
                </c:pt>
                <c:pt idx="11">
                  <c:v>0.76702886434877127</c:v>
                </c:pt>
                <c:pt idx="12">
                  <c:v>0.58341188015620304</c:v>
                </c:pt>
                <c:pt idx="13">
                  <c:v>0.42849999999999999</c:v>
                </c:pt>
                <c:pt idx="14">
                  <c:v>0.85699999999999998</c:v>
                </c:pt>
              </c:numCache>
            </c:numRef>
          </c:val>
          <c:extLst>
            <c:ext xmlns:c16="http://schemas.microsoft.com/office/drawing/2014/chart" uri="{C3380CC4-5D6E-409C-BE32-E72D297353CC}">
              <c16:uniqueId val="{00000001-F797-4338-A1CB-4A62186911A8}"/>
            </c:ext>
          </c:extLst>
        </c:ser>
        <c:dLbls>
          <c:showLegendKey val="0"/>
          <c:showVal val="0"/>
          <c:showCatName val="0"/>
          <c:showSerName val="0"/>
          <c:showPercent val="0"/>
          <c:showBubbleSize val="0"/>
        </c:dLbls>
        <c:gapWidth val="50"/>
        <c:axId val="923793232"/>
        <c:axId val="923795392"/>
      </c:barChart>
      <c:lineChart>
        <c:grouping val="standard"/>
        <c:varyColors val="0"/>
        <c:ser>
          <c:idx val="1"/>
          <c:order val="1"/>
          <c:tx>
            <c:strRef>
              <c:f>'AV&amp;Utilization'!$J$3</c:f>
              <c:strCache>
                <c:ptCount val="1"/>
                <c:pt idx="0">
                  <c:v>Intel 4wma</c:v>
                </c:pt>
              </c:strCache>
            </c:strRef>
          </c:tx>
          <c:spPr>
            <a:ln w="28575" cap="rnd">
              <a:solidFill>
                <a:schemeClr val="tx2"/>
              </a:solidFill>
              <a:round/>
            </a:ln>
            <a:effectLst/>
          </c:spPr>
          <c:marker>
            <c:symbol val="triangle"/>
            <c:size val="8"/>
            <c:spPr>
              <a:solidFill>
                <a:srgbClr val="002060"/>
              </a:solidFill>
              <a:ln w="9525">
                <a:solidFill>
                  <a:srgbClr val="002060"/>
                </a:solidFill>
              </a:ln>
              <a:effectLst/>
            </c:spPr>
          </c:marker>
          <c:cat>
            <c:strRef>
              <c:f>'MTBF graph_vs_ROW'!$B$8:$B$32</c:f>
              <c:strCache>
                <c:ptCount val="25"/>
                <c:pt idx="0">
                  <c:v>wk2430</c:v>
                </c:pt>
                <c:pt idx="1">
                  <c:v>wk2431</c:v>
                </c:pt>
                <c:pt idx="2">
                  <c:v>wk2432</c:v>
                </c:pt>
                <c:pt idx="3">
                  <c:v>wk2433</c:v>
                </c:pt>
                <c:pt idx="4">
                  <c:v>wk2434</c:v>
                </c:pt>
                <c:pt idx="5">
                  <c:v>wk2435</c:v>
                </c:pt>
                <c:pt idx="6">
                  <c:v>wk2436</c:v>
                </c:pt>
                <c:pt idx="7">
                  <c:v>wk2437</c:v>
                </c:pt>
                <c:pt idx="8">
                  <c:v>wk2438</c:v>
                </c:pt>
                <c:pt idx="9">
                  <c:v>wk2439</c:v>
                </c:pt>
                <c:pt idx="10">
                  <c:v>wk2440</c:v>
                </c:pt>
                <c:pt idx="11">
                  <c:v>wk2441</c:v>
                </c:pt>
                <c:pt idx="12">
                  <c:v>wk2442</c:v>
                </c:pt>
                <c:pt idx="13">
                  <c:v>wk2443</c:v>
                </c:pt>
                <c:pt idx="14">
                  <c:v>wk2444</c:v>
                </c:pt>
                <c:pt idx="15">
                  <c:v>wk2445</c:v>
                </c:pt>
                <c:pt idx="16">
                  <c:v>wk2446</c:v>
                </c:pt>
                <c:pt idx="17">
                  <c:v>wk2447</c:v>
                </c:pt>
                <c:pt idx="18">
                  <c:v>wk2448</c:v>
                </c:pt>
                <c:pt idx="19">
                  <c:v>wk2449</c:v>
                </c:pt>
                <c:pt idx="20">
                  <c:v>wk2450</c:v>
                </c:pt>
                <c:pt idx="21">
                  <c:v>wk2451</c:v>
                </c:pt>
                <c:pt idx="22">
                  <c:v>wk2452</c:v>
                </c:pt>
                <c:pt idx="23">
                  <c:v>wk2501</c:v>
                </c:pt>
                <c:pt idx="24">
                  <c:v>wk2502</c:v>
                </c:pt>
              </c:strCache>
            </c:strRef>
          </c:cat>
          <c:val>
            <c:numRef>
              <c:f>'AV&amp;Utilization'!$J$14:$J$28</c:f>
              <c:numCache>
                <c:formatCode>0.0%;\-0.0%;0.0%</c:formatCode>
                <c:ptCount val="15"/>
                <c:pt idx="0">
                  <c:v>0.4026614249694998</c:v>
                </c:pt>
                <c:pt idx="1">
                  <c:v>0.34136710370376649</c:v>
                </c:pt>
                <c:pt idx="2">
                  <c:v>0.33605595641871222</c:v>
                </c:pt>
                <c:pt idx="3">
                  <c:v>0.56228083059718159</c:v>
                </c:pt>
                <c:pt idx="4">
                  <c:v>0.66332890950173751</c:v>
                </c:pt>
                <c:pt idx="5">
                  <c:v>0.72787136641302586</c:v>
                </c:pt>
                <c:pt idx="6">
                  <c:v>0.65507792244206786</c:v>
                </c:pt>
                <c:pt idx="7">
                  <c:v>0.65183577857759289</c:v>
                </c:pt>
                <c:pt idx="8">
                  <c:v>0.75757911982241821</c:v>
                </c:pt>
                <c:pt idx="9">
                  <c:v>0.80537844064372466</c:v>
                </c:pt>
                <c:pt idx="10">
                  <c:v>0.7524604512311408</c:v>
                </c:pt>
                <c:pt idx="11">
                  <c:v>0.73074712065291614</c:v>
                </c:pt>
                <c:pt idx="12">
                  <c:v>0.71042005189495205</c:v>
                </c:pt>
                <c:pt idx="13">
                  <c:v>0.75900000000000001</c:v>
                </c:pt>
                <c:pt idx="14">
                  <c:v>0.85</c:v>
                </c:pt>
              </c:numCache>
            </c:numRef>
          </c:val>
          <c:smooth val="0"/>
          <c:extLst>
            <c:ext xmlns:c16="http://schemas.microsoft.com/office/drawing/2014/chart" uri="{C3380CC4-5D6E-409C-BE32-E72D297353CC}">
              <c16:uniqueId val="{00000003-F797-4338-A1CB-4A62186911A8}"/>
            </c:ext>
          </c:extLst>
        </c:ser>
        <c:ser>
          <c:idx val="3"/>
          <c:order val="4"/>
          <c:tx>
            <c:strRef>
              <c:f>'AV&amp;Utilization'!$M$3</c:f>
              <c:strCache>
                <c:ptCount val="1"/>
                <c:pt idx="0">
                  <c:v>RoW 4wma</c:v>
                </c:pt>
              </c:strCache>
            </c:strRef>
          </c:tx>
          <c:spPr>
            <a:ln w="28575" cap="rnd">
              <a:solidFill>
                <a:schemeClr val="accent3"/>
              </a:solidFill>
              <a:round/>
            </a:ln>
            <a:effectLst/>
          </c:spPr>
          <c:marker>
            <c:symbol val="diamond"/>
            <c:size val="8"/>
            <c:spPr>
              <a:solidFill>
                <a:schemeClr val="bg1">
                  <a:lumMod val="65000"/>
                  <a:alpha val="95000"/>
                </a:schemeClr>
              </a:solidFill>
              <a:ln w="9525">
                <a:solidFill>
                  <a:schemeClr val="bg1">
                    <a:lumMod val="65000"/>
                  </a:schemeClr>
                </a:solidFill>
              </a:ln>
              <a:effectLst/>
            </c:spPr>
          </c:marker>
          <c:cat>
            <c:strRef>
              <c:f>'MTBF graph_vs_ROW'!$B$8:$B$32</c:f>
              <c:strCache>
                <c:ptCount val="25"/>
                <c:pt idx="0">
                  <c:v>wk2430</c:v>
                </c:pt>
                <c:pt idx="1">
                  <c:v>wk2431</c:v>
                </c:pt>
                <c:pt idx="2">
                  <c:v>wk2432</c:v>
                </c:pt>
                <c:pt idx="3">
                  <c:v>wk2433</c:v>
                </c:pt>
                <c:pt idx="4">
                  <c:v>wk2434</c:v>
                </c:pt>
                <c:pt idx="5">
                  <c:v>wk2435</c:v>
                </c:pt>
                <c:pt idx="6">
                  <c:v>wk2436</c:v>
                </c:pt>
                <c:pt idx="7">
                  <c:v>wk2437</c:v>
                </c:pt>
                <c:pt idx="8">
                  <c:v>wk2438</c:v>
                </c:pt>
                <c:pt idx="9">
                  <c:v>wk2439</c:v>
                </c:pt>
                <c:pt idx="10">
                  <c:v>wk2440</c:v>
                </c:pt>
                <c:pt idx="11">
                  <c:v>wk2441</c:v>
                </c:pt>
                <c:pt idx="12">
                  <c:v>wk2442</c:v>
                </c:pt>
                <c:pt idx="13">
                  <c:v>wk2443</c:v>
                </c:pt>
                <c:pt idx="14">
                  <c:v>wk2444</c:v>
                </c:pt>
                <c:pt idx="15">
                  <c:v>wk2445</c:v>
                </c:pt>
                <c:pt idx="16">
                  <c:v>wk2446</c:v>
                </c:pt>
                <c:pt idx="17">
                  <c:v>wk2447</c:v>
                </c:pt>
                <c:pt idx="18">
                  <c:v>wk2448</c:v>
                </c:pt>
                <c:pt idx="19">
                  <c:v>wk2449</c:v>
                </c:pt>
                <c:pt idx="20">
                  <c:v>wk2450</c:v>
                </c:pt>
                <c:pt idx="21">
                  <c:v>wk2451</c:v>
                </c:pt>
                <c:pt idx="22">
                  <c:v>wk2452</c:v>
                </c:pt>
                <c:pt idx="23">
                  <c:v>wk2501</c:v>
                </c:pt>
                <c:pt idx="24">
                  <c:v>wk2502</c:v>
                </c:pt>
              </c:strCache>
            </c:strRef>
          </c:cat>
          <c:val>
            <c:numRef>
              <c:f>'AV&amp;Utilization'!$M$14:$M$28</c:f>
              <c:numCache>
                <c:formatCode>0.0%;\-0.0%;0.0%</c:formatCode>
                <c:ptCount val="15"/>
                <c:pt idx="2">
                  <c:v>0.44352990361044697</c:v>
                </c:pt>
                <c:pt idx="3">
                  <c:v>0.57812164302898217</c:v>
                </c:pt>
                <c:pt idx="4">
                  <c:v>0.693245914397425</c:v>
                </c:pt>
                <c:pt idx="5">
                  <c:v>0.77042815996583525</c:v>
                </c:pt>
                <c:pt idx="6">
                  <c:v>0.88677303885126768</c:v>
                </c:pt>
                <c:pt idx="7">
                  <c:v>0.89616676451655153</c:v>
                </c:pt>
                <c:pt idx="8">
                  <c:v>0.871041602596483</c:v>
                </c:pt>
                <c:pt idx="9">
                  <c:v>0.86188506849247115</c:v>
                </c:pt>
                <c:pt idx="10">
                  <c:v>0.80556197945204322</c:v>
                </c:pt>
                <c:pt idx="11">
                  <c:v>0.77401121412774232</c:v>
                </c:pt>
                <c:pt idx="12">
                  <c:v>0.71322894157306727</c:v>
                </c:pt>
                <c:pt idx="13">
                  <c:v>0.59140885423108203</c:v>
                </c:pt>
                <c:pt idx="14">
                  <c:v>0.65898518612624368</c:v>
                </c:pt>
              </c:numCache>
            </c:numRef>
          </c:val>
          <c:smooth val="0"/>
          <c:extLst>
            <c:ext xmlns:c16="http://schemas.microsoft.com/office/drawing/2014/chart" uri="{C3380CC4-5D6E-409C-BE32-E72D297353CC}">
              <c16:uniqueId val="{00000005-F797-4338-A1CB-4A62186911A8}"/>
            </c:ext>
          </c:extLst>
        </c:ser>
        <c:dLbls>
          <c:showLegendKey val="0"/>
          <c:showVal val="0"/>
          <c:showCatName val="0"/>
          <c:showSerName val="0"/>
          <c:showPercent val="0"/>
          <c:showBubbleSize val="0"/>
        </c:dLbls>
        <c:marker val="1"/>
        <c:smooth val="0"/>
        <c:axId val="923793232"/>
        <c:axId val="923795392"/>
      </c:lineChart>
      <c:scatterChart>
        <c:scatterStyle val="lineMarker"/>
        <c:varyColors val="0"/>
        <c:ser>
          <c:idx val="4"/>
          <c:order val="2"/>
          <c:tx>
            <c:strRef>
              <c:f>'AV&amp;Utilization'!$K$3</c:f>
              <c:strCache>
                <c:ptCount val="1"/>
                <c:pt idx="0">
                  <c:v>Intel 13wma</c:v>
                </c:pt>
              </c:strCache>
            </c:strRef>
          </c:tx>
          <c:spPr>
            <a:ln w="28575" cap="rnd">
              <a:solidFill>
                <a:schemeClr val="tx2"/>
              </a:solidFill>
              <a:prstDash val="dash"/>
              <a:round/>
            </a:ln>
            <a:effectLst/>
          </c:spPr>
          <c:marker>
            <c:symbol val="triangle"/>
            <c:size val="8"/>
            <c:spPr>
              <a:noFill/>
              <a:ln w="9525">
                <a:solidFill>
                  <a:schemeClr val="tx2"/>
                </a:solidFill>
                <a:prstDash val="solid"/>
              </a:ln>
              <a:effectLst/>
            </c:spPr>
          </c:marker>
          <c:yVal>
            <c:numRef>
              <c:f>'AV&amp;Utilization'!$K$14:$K$28</c:f>
              <c:numCache>
                <c:formatCode>0.0%;\-0.0%;0.0%</c:formatCode>
                <c:ptCount val="15"/>
                <c:pt idx="4">
                  <c:v>0.51790741360342485</c:v>
                </c:pt>
                <c:pt idx="5">
                  <c:v>0.50264760847562573</c:v>
                </c:pt>
                <c:pt idx="6">
                  <c:v>0.51680369977778728</c:v>
                </c:pt>
                <c:pt idx="7">
                  <c:v>0.55968367087912274</c:v>
                </c:pt>
                <c:pt idx="8">
                  <c:v>0.58377008509249217</c:v>
                </c:pt>
                <c:pt idx="9">
                  <c:v>0.60664221493240855</c:v>
                </c:pt>
                <c:pt idx="10">
                  <c:v>0.60886619854653989</c:v>
                </c:pt>
                <c:pt idx="11">
                  <c:v>0.60036943299879852</c:v>
                </c:pt>
                <c:pt idx="12">
                  <c:v>0.6707076462959497</c:v>
                </c:pt>
                <c:pt idx="13">
                  <c:v>0.72099999999999997</c:v>
                </c:pt>
                <c:pt idx="14">
                  <c:v>0.77200000000000002</c:v>
                </c:pt>
              </c:numCache>
            </c:numRef>
          </c:yVal>
          <c:smooth val="0"/>
          <c:extLst>
            <c:ext xmlns:c16="http://schemas.microsoft.com/office/drawing/2014/chart" uri="{C3380CC4-5D6E-409C-BE32-E72D297353CC}">
              <c16:uniqueId val="{00000007-F797-4338-A1CB-4A62186911A8}"/>
            </c:ext>
          </c:extLst>
        </c:ser>
        <c:ser>
          <c:idx val="5"/>
          <c:order val="5"/>
          <c:tx>
            <c:strRef>
              <c:f>'AV&amp;Utilization'!$N$3</c:f>
              <c:strCache>
                <c:ptCount val="1"/>
                <c:pt idx="0">
                  <c:v>RoW 13wma</c:v>
                </c:pt>
              </c:strCache>
            </c:strRef>
          </c:tx>
          <c:spPr>
            <a:ln w="28575" cap="rnd">
              <a:solidFill>
                <a:schemeClr val="accent3"/>
              </a:solidFill>
              <a:prstDash val="dash"/>
              <a:round/>
            </a:ln>
            <a:effectLst/>
          </c:spPr>
          <c:marker>
            <c:symbol val="diamond"/>
            <c:size val="8"/>
            <c:spPr>
              <a:noFill/>
              <a:ln w="9525">
                <a:solidFill>
                  <a:schemeClr val="accent3"/>
                </a:solidFill>
              </a:ln>
              <a:effectLst/>
            </c:spPr>
          </c:marker>
          <c:yVal>
            <c:numRef>
              <c:f>'AV&amp;Utilization'!$N$14:$N$28</c:f>
              <c:numCache>
                <c:formatCode>0.0%;\-0.0%;0.0%</c:formatCode>
                <c:ptCount val="15"/>
                <c:pt idx="11">
                  <c:v>0.71899999999999997</c:v>
                </c:pt>
                <c:pt idx="12">
                  <c:v>0.74099999999999999</c:v>
                </c:pt>
                <c:pt idx="13">
                  <c:v>0.73981334434210533</c:v>
                </c:pt>
                <c:pt idx="14">
                  <c:v>0.75637607755489156</c:v>
                </c:pt>
              </c:numCache>
            </c:numRef>
          </c:yVal>
          <c:smooth val="0"/>
          <c:extLst>
            <c:ext xmlns:c16="http://schemas.microsoft.com/office/drawing/2014/chart" uri="{C3380CC4-5D6E-409C-BE32-E72D297353CC}">
              <c16:uniqueId val="{0000000A-F797-4338-A1CB-4A62186911A8}"/>
            </c:ext>
          </c:extLst>
        </c:ser>
        <c:dLbls>
          <c:showLegendKey val="0"/>
          <c:showVal val="0"/>
          <c:showCatName val="0"/>
          <c:showSerName val="0"/>
          <c:showPercent val="0"/>
          <c:showBubbleSize val="0"/>
        </c:dLbls>
        <c:axId val="923793232"/>
        <c:axId val="923795392"/>
      </c:scatterChart>
      <c:catAx>
        <c:axId val="92379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5392"/>
        <c:crosses val="autoZero"/>
        <c:auto val="1"/>
        <c:lblAlgn val="ctr"/>
        <c:lblOffset val="100"/>
        <c:noMultiLvlLbl val="0"/>
      </c:catAx>
      <c:valAx>
        <c:axId val="923795392"/>
        <c:scaling>
          <c:orientation val="minMax"/>
          <c:max val="1"/>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MTBF [hrs]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3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Intel vs RoW (Availability)</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6974026640336923E-2"/>
          <c:y val="0.11818971958724189"/>
          <c:w val="0.87195157693874614"/>
          <c:h val="0.68600058913827733"/>
        </c:manualLayout>
      </c:layout>
      <c:barChart>
        <c:barDir val="col"/>
        <c:grouping val="clustered"/>
        <c:varyColors val="0"/>
        <c:ser>
          <c:idx val="0"/>
          <c:order val="0"/>
          <c:tx>
            <c:strRef>
              <c:f>'AV&amp;Utilization'!$I$3</c:f>
              <c:strCache>
                <c:ptCount val="1"/>
                <c:pt idx="0">
                  <c:v>Intel 1wma</c:v>
                </c:pt>
              </c:strCache>
            </c:strRef>
          </c:tx>
          <c:spPr>
            <a:noFill/>
            <a:ln>
              <a:noFill/>
            </a:ln>
            <a:effectLst/>
          </c:spPr>
          <c:invertIfNegative val="0"/>
          <c:dPt>
            <c:idx val="13"/>
            <c:invertIfNegative val="0"/>
            <c:bubble3D val="0"/>
            <c:spPr>
              <a:noFill/>
              <a:ln>
                <a:noFill/>
              </a:ln>
              <a:effectLst/>
            </c:spPr>
            <c:extLst>
              <c:ext xmlns:c16="http://schemas.microsoft.com/office/drawing/2014/chart" uri="{C3380CC4-5D6E-409C-BE32-E72D297353CC}">
                <c16:uniqueId val="{00000001-229B-4BA0-A314-8095DFF3035E}"/>
              </c:ext>
            </c:extLst>
          </c:dPt>
          <c:dPt>
            <c:idx val="14"/>
            <c:invertIfNegative val="0"/>
            <c:bubble3D val="0"/>
            <c:spPr>
              <a:noFill/>
              <a:ln>
                <a:noFill/>
              </a:ln>
              <a:effectLst/>
            </c:spPr>
            <c:extLst>
              <c:ext xmlns:c16="http://schemas.microsoft.com/office/drawing/2014/chart" uri="{C3380CC4-5D6E-409C-BE32-E72D297353CC}">
                <c16:uniqueId val="{00000002-229B-4BA0-A314-8095DFF3035E}"/>
              </c:ext>
            </c:extLst>
          </c:dPt>
          <c:cat>
            <c:strRef>
              <c:f>'AV&amp;Utilization'!$A$14:$A$28</c:f>
              <c:strCache>
                <c:ptCount val="15"/>
                <c:pt idx="0">
                  <c:v>wk2438</c:v>
                </c:pt>
                <c:pt idx="1">
                  <c:v>wk2439</c:v>
                </c:pt>
                <c:pt idx="2">
                  <c:v>wk2440</c:v>
                </c:pt>
                <c:pt idx="3">
                  <c:v>wk2441</c:v>
                </c:pt>
                <c:pt idx="4">
                  <c:v>wk2442</c:v>
                </c:pt>
                <c:pt idx="5">
                  <c:v>wk2443</c:v>
                </c:pt>
                <c:pt idx="6">
                  <c:v>wk2444</c:v>
                </c:pt>
                <c:pt idx="7">
                  <c:v>wk2445</c:v>
                </c:pt>
                <c:pt idx="8">
                  <c:v>wk2446</c:v>
                </c:pt>
                <c:pt idx="9">
                  <c:v>wk2447</c:v>
                </c:pt>
                <c:pt idx="10">
                  <c:v>wk2448</c:v>
                </c:pt>
                <c:pt idx="11">
                  <c:v>wk2449</c:v>
                </c:pt>
                <c:pt idx="12">
                  <c:v>wk2450</c:v>
                </c:pt>
                <c:pt idx="13">
                  <c:v>wk2451</c:v>
                </c:pt>
                <c:pt idx="14">
                  <c:v>wk2452</c:v>
                </c:pt>
              </c:strCache>
            </c:strRef>
          </c:cat>
          <c:val>
            <c:numRef>
              <c:f>'AV&amp;Utilization'!$I$14:$I$28</c:f>
              <c:numCache>
                <c:formatCode>0.0%;\-0.0%;0.0%</c:formatCode>
                <c:ptCount val="15"/>
                <c:pt idx="0">
                  <c:v>6.9674556006880009E-2</c:v>
                </c:pt>
                <c:pt idx="1">
                  <c:v>0.24509702346145681</c:v>
                </c:pt>
                <c:pt idx="2">
                  <c:v>0.93216502964799608</c:v>
                </c:pt>
                <c:pt idx="3">
                  <c:v>0.89587331105987611</c:v>
                </c:pt>
                <c:pt idx="4">
                  <c:v>0.60387802916895816</c:v>
                </c:pt>
                <c:pt idx="5">
                  <c:v>0.40637968498755117</c:v>
                </c:pt>
                <c:pt idx="6">
                  <c:v>0.65600000000000003</c:v>
                </c:pt>
                <c:pt idx="7">
                  <c:v>0.90100000000000002</c:v>
                </c:pt>
                <c:pt idx="8">
                  <c:v>0.96399999999999997</c:v>
                </c:pt>
                <c:pt idx="9">
                  <c:v>0.66600000000000004</c:v>
                </c:pt>
                <c:pt idx="10">
                  <c:v>0.496</c:v>
                </c:pt>
                <c:pt idx="11">
                  <c:v>0.79700000000000004</c:v>
                </c:pt>
                <c:pt idx="12">
                  <c:v>0.88900000000000001</c:v>
                </c:pt>
                <c:pt idx="13">
                  <c:v>0.85699999999999998</c:v>
                </c:pt>
                <c:pt idx="14">
                  <c:v>0.85699999999999998</c:v>
                </c:pt>
              </c:numCache>
            </c:numRef>
          </c:val>
          <c:extLst>
            <c:ext xmlns:c16="http://schemas.microsoft.com/office/drawing/2014/chart" uri="{C3380CC4-5D6E-409C-BE32-E72D297353CC}">
              <c16:uniqueId val="{00000000-F797-4338-A1CB-4A62186911A8}"/>
            </c:ext>
          </c:extLst>
        </c:ser>
        <c:ser>
          <c:idx val="2"/>
          <c:order val="3"/>
          <c:tx>
            <c:strRef>
              <c:f>'AV&amp;Utilization'!$L$3</c:f>
              <c:strCache>
                <c:ptCount val="1"/>
                <c:pt idx="0">
                  <c:v>RoW 1wma</c:v>
                </c:pt>
              </c:strCache>
            </c:strRef>
          </c:tx>
          <c:spPr>
            <a:noFill/>
            <a:ln>
              <a:noFill/>
            </a:ln>
            <a:effectLst/>
          </c:spPr>
          <c:invertIfNegative val="0"/>
          <c:dPt>
            <c:idx val="13"/>
            <c:invertIfNegative val="0"/>
            <c:bubble3D val="0"/>
            <c:spPr>
              <a:noFill/>
              <a:ln>
                <a:noFill/>
              </a:ln>
              <a:effectLst/>
            </c:spPr>
            <c:extLst>
              <c:ext xmlns:c16="http://schemas.microsoft.com/office/drawing/2014/chart" uri="{C3380CC4-5D6E-409C-BE32-E72D297353CC}">
                <c16:uniqueId val="{00000003-229B-4BA0-A314-8095DFF3035E}"/>
              </c:ext>
            </c:extLst>
          </c:dPt>
          <c:dPt>
            <c:idx val="14"/>
            <c:invertIfNegative val="0"/>
            <c:bubble3D val="0"/>
            <c:spPr>
              <a:noFill/>
              <a:ln>
                <a:noFill/>
              </a:ln>
              <a:effectLst/>
            </c:spPr>
            <c:extLst>
              <c:ext xmlns:c16="http://schemas.microsoft.com/office/drawing/2014/chart" uri="{C3380CC4-5D6E-409C-BE32-E72D297353CC}">
                <c16:uniqueId val="{00000004-229B-4BA0-A314-8095DFF3035E}"/>
              </c:ext>
            </c:extLst>
          </c:dPt>
          <c:cat>
            <c:strRef>
              <c:f>'AV&amp;Utilization'!$A$14:$A$28</c:f>
              <c:strCache>
                <c:ptCount val="15"/>
                <c:pt idx="0">
                  <c:v>wk2438</c:v>
                </c:pt>
                <c:pt idx="1">
                  <c:v>wk2439</c:v>
                </c:pt>
                <c:pt idx="2">
                  <c:v>wk2440</c:v>
                </c:pt>
                <c:pt idx="3">
                  <c:v>wk2441</c:v>
                </c:pt>
                <c:pt idx="4">
                  <c:v>wk2442</c:v>
                </c:pt>
                <c:pt idx="5">
                  <c:v>wk2443</c:v>
                </c:pt>
                <c:pt idx="6">
                  <c:v>wk2444</c:v>
                </c:pt>
                <c:pt idx="7">
                  <c:v>wk2445</c:v>
                </c:pt>
                <c:pt idx="8">
                  <c:v>wk2446</c:v>
                </c:pt>
                <c:pt idx="9">
                  <c:v>wk2447</c:v>
                </c:pt>
                <c:pt idx="10">
                  <c:v>wk2448</c:v>
                </c:pt>
                <c:pt idx="11">
                  <c:v>wk2449</c:v>
                </c:pt>
                <c:pt idx="12">
                  <c:v>wk2450</c:v>
                </c:pt>
                <c:pt idx="13">
                  <c:v>wk2451</c:v>
                </c:pt>
                <c:pt idx="14">
                  <c:v>wk2452</c:v>
                </c:pt>
              </c:strCache>
            </c:strRef>
          </c:cat>
          <c:val>
            <c:numRef>
              <c:f>'AV&amp;Utilization'!$L$14:$L$28</c:f>
              <c:numCache>
                <c:formatCode>0.0%;\-0.0%;0.0%</c:formatCode>
                <c:ptCount val="15"/>
                <c:pt idx="0">
                  <c:v>0.44535526606744608</c:v>
                </c:pt>
                <c:pt idx="1">
                  <c:v>0.64168446823377667</c:v>
                </c:pt>
                <c:pt idx="2">
                  <c:v>0.42763526339899216</c:v>
                </c:pt>
                <c:pt idx="3">
                  <c:v>0.8494310585473287</c:v>
                </c:pt>
                <c:pt idx="4">
                  <c:v>0.92535345731113305</c:v>
                </c:pt>
                <c:pt idx="5">
                  <c:v>0.96031360749793959</c:v>
                </c:pt>
                <c:pt idx="6">
                  <c:v>0.82273910442705245</c:v>
                </c:pt>
                <c:pt idx="7">
                  <c:v>0.89146680224526864</c:v>
                </c:pt>
                <c:pt idx="8">
                  <c:v>0.82276528942375693</c:v>
                </c:pt>
                <c:pt idx="9">
                  <c:v>0.91054900843779019</c:v>
                </c:pt>
                <c:pt idx="10">
                  <c:v>0.58669467241935358</c:v>
                </c:pt>
                <c:pt idx="11">
                  <c:v>0.76702886434877127</c:v>
                </c:pt>
                <c:pt idx="12">
                  <c:v>0.58341188015620304</c:v>
                </c:pt>
                <c:pt idx="13">
                  <c:v>0.42849999999999999</c:v>
                </c:pt>
                <c:pt idx="14">
                  <c:v>0.85699999999999998</c:v>
                </c:pt>
              </c:numCache>
            </c:numRef>
          </c:val>
          <c:extLst>
            <c:ext xmlns:c16="http://schemas.microsoft.com/office/drawing/2014/chart" uri="{C3380CC4-5D6E-409C-BE32-E72D297353CC}">
              <c16:uniqueId val="{00000001-F797-4338-A1CB-4A62186911A8}"/>
            </c:ext>
          </c:extLst>
        </c:ser>
        <c:dLbls>
          <c:showLegendKey val="0"/>
          <c:showVal val="0"/>
          <c:showCatName val="0"/>
          <c:showSerName val="0"/>
          <c:showPercent val="0"/>
          <c:showBubbleSize val="0"/>
        </c:dLbls>
        <c:gapWidth val="50"/>
        <c:axId val="923793232"/>
        <c:axId val="923795392"/>
      </c:barChart>
      <c:lineChart>
        <c:grouping val="standard"/>
        <c:varyColors val="0"/>
        <c:ser>
          <c:idx val="1"/>
          <c:order val="1"/>
          <c:tx>
            <c:strRef>
              <c:f>'AV&amp;Utilization'!$J$3</c:f>
              <c:strCache>
                <c:ptCount val="1"/>
                <c:pt idx="0">
                  <c:v>Intel 4wma</c:v>
                </c:pt>
              </c:strCache>
            </c:strRef>
          </c:tx>
          <c:spPr>
            <a:ln w="28575" cap="rnd">
              <a:solidFill>
                <a:schemeClr val="tx2"/>
              </a:solidFill>
              <a:round/>
            </a:ln>
            <a:effectLst/>
          </c:spPr>
          <c:marker>
            <c:symbol val="triangle"/>
            <c:size val="8"/>
            <c:spPr>
              <a:solidFill>
                <a:srgbClr val="002060"/>
              </a:solidFill>
              <a:ln w="9525">
                <a:solidFill>
                  <a:srgbClr val="002060"/>
                </a:solidFill>
              </a:ln>
              <a:effectLst/>
            </c:spPr>
          </c:marker>
          <c:cat>
            <c:strRef>
              <c:f>'MTBF graph_vs_ROW'!$B$8:$B$32</c:f>
              <c:strCache>
                <c:ptCount val="25"/>
                <c:pt idx="0">
                  <c:v>wk2430</c:v>
                </c:pt>
                <c:pt idx="1">
                  <c:v>wk2431</c:v>
                </c:pt>
                <c:pt idx="2">
                  <c:v>wk2432</c:v>
                </c:pt>
                <c:pt idx="3">
                  <c:v>wk2433</c:v>
                </c:pt>
                <c:pt idx="4">
                  <c:v>wk2434</c:v>
                </c:pt>
                <c:pt idx="5">
                  <c:v>wk2435</c:v>
                </c:pt>
                <c:pt idx="6">
                  <c:v>wk2436</c:v>
                </c:pt>
                <c:pt idx="7">
                  <c:v>wk2437</c:v>
                </c:pt>
                <c:pt idx="8">
                  <c:v>wk2438</c:v>
                </c:pt>
                <c:pt idx="9">
                  <c:v>wk2439</c:v>
                </c:pt>
                <c:pt idx="10">
                  <c:v>wk2440</c:v>
                </c:pt>
                <c:pt idx="11">
                  <c:v>wk2441</c:v>
                </c:pt>
                <c:pt idx="12">
                  <c:v>wk2442</c:v>
                </c:pt>
                <c:pt idx="13">
                  <c:v>wk2443</c:v>
                </c:pt>
                <c:pt idx="14">
                  <c:v>wk2444</c:v>
                </c:pt>
                <c:pt idx="15">
                  <c:v>wk2445</c:v>
                </c:pt>
                <c:pt idx="16">
                  <c:v>wk2446</c:v>
                </c:pt>
                <c:pt idx="17">
                  <c:v>wk2447</c:v>
                </c:pt>
                <c:pt idx="18">
                  <c:v>wk2448</c:v>
                </c:pt>
                <c:pt idx="19">
                  <c:v>wk2449</c:v>
                </c:pt>
                <c:pt idx="20">
                  <c:v>wk2450</c:v>
                </c:pt>
                <c:pt idx="21">
                  <c:v>wk2451</c:v>
                </c:pt>
                <c:pt idx="22">
                  <c:v>wk2452</c:v>
                </c:pt>
                <c:pt idx="23">
                  <c:v>wk2501</c:v>
                </c:pt>
                <c:pt idx="24">
                  <c:v>wk2502</c:v>
                </c:pt>
              </c:strCache>
            </c:strRef>
          </c:cat>
          <c:val>
            <c:numRef>
              <c:f>'AV&amp;Utilization'!$J$14:$J$28</c:f>
              <c:numCache>
                <c:formatCode>0.0%;\-0.0%;0.0%</c:formatCode>
                <c:ptCount val="15"/>
                <c:pt idx="0">
                  <c:v>0.4026614249694998</c:v>
                </c:pt>
                <c:pt idx="1">
                  <c:v>0.34136710370376649</c:v>
                </c:pt>
                <c:pt idx="2">
                  <c:v>0.33605595641871222</c:v>
                </c:pt>
                <c:pt idx="3">
                  <c:v>0.56228083059718159</c:v>
                </c:pt>
                <c:pt idx="4">
                  <c:v>0.66332890950173751</c:v>
                </c:pt>
                <c:pt idx="5">
                  <c:v>0.72787136641302586</c:v>
                </c:pt>
                <c:pt idx="6">
                  <c:v>0.65507792244206786</c:v>
                </c:pt>
                <c:pt idx="7">
                  <c:v>0.65183577857759289</c:v>
                </c:pt>
                <c:pt idx="8">
                  <c:v>0.75757911982241821</c:v>
                </c:pt>
                <c:pt idx="9">
                  <c:v>0.80537844064372466</c:v>
                </c:pt>
                <c:pt idx="10">
                  <c:v>0.7524604512311408</c:v>
                </c:pt>
                <c:pt idx="11">
                  <c:v>0.73074712065291614</c:v>
                </c:pt>
                <c:pt idx="12">
                  <c:v>0.71042005189495205</c:v>
                </c:pt>
                <c:pt idx="13">
                  <c:v>0.75900000000000001</c:v>
                </c:pt>
                <c:pt idx="14">
                  <c:v>0.85</c:v>
                </c:pt>
              </c:numCache>
            </c:numRef>
          </c:val>
          <c:smooth val="0"/>
          <c:extLst>
            <c:ext xmlns:c16="http://schemas.microsoft.com/office/drawing/2014/chart" uri="{C3380CC4-5D6E-409C-BE32-E72D297353CC}">
              <c16:uniqueId val="{00000003-F797-4338-A1CB-4A62186911A8}"/>
            </c:ext>
          </c:extLst>
        </c:ser>
        <c:ser>
          <c:idx val="3"/>
          <c:order val="4"/>
          <c:tx>
            <c:strRef>
              <c:f>'AV&amp;Utilization'!$M$3</c:f>
              <c:strCache>
                <c:ptCount val="1"/>
                <c:pt idx="0">
                  <c:v>RoW 4wma</c:v>
                </c:pt>
              </c:strCache>
            </c:strRef>
          </c:tx>
          <c:spPr>
            <a:ln w="28575" cap="rnd">
              <a:solidFill>
                <a:schemeClr val="accent3"/>
              </a:solidFill>
              <a:round/>
            </a:ln>
            <a:effectLst/>
          </c:spPr>
          <c:marker>
            <c:symbol val="diamond"/>
            <c:size val="8"/>
            <c:spPr>
              <a:solidFill>
                <a:schemeClr val="bg1">
                  <a:lumMod val="65000"/>
                  <a:alpha val="95000"/>
                </a:schemeClr>
              </a:solidFill>
              <a:ln w="9525">
                <a:solidFill>
                  <a:schemeClr val="bg1">
                    <a:lumMod val="65000"/>
                  </a:schemeClr>
                </a:solidFill>
              </a:ln>
              <a:effectLst/>
            </c:spPr>
          </c:marker>
          <c:cat>
            <c:strRef>
              <c:f>'MTBF graph_vs_ROW'!$B$8:$B$32</c:f>
              <c:strCache>
                <c:ptCount val="25"/>
                <c:pt idx="0">
                  <c:v>wk2430</c:v>
                </c:pt>
                <c:pt idx="1">
                  <c:v>wk2431</c:v>
                </c:pt>
                <c:pt idx="2">
                  <c:v>wk2432</c:v>
                </c:pt>
                <c:pt idx="3">
                  <c:v>wk2433</c:v>
                </c:pt>
                <c:pt idx="4">
                  <c:v>wk2434</c:v>
                </c:pt>
                <c:pt idx="5">
                  <c:v>wk2435</c:v>
                </c:pt>
                <c:pt idx="6">
                  <c:v>wk2436</c:v>
                </c:pt>
                <c:pt idx="7">
                  <c:v>wk2437</c:v>
                </c:pt>
                <c:pt idx="8">
                  <c:v>wk2438</c:v>
                </c:pt>
                <c:pt idx="9">
                  <c:v>wk2439</c:v>
                </c:pt>
                <c:pt idx="10">
                  <c:v>wk2440</c:v>
                </c:pt>
                <c:pt idx="11">
                  <c:v>wk2441</c:v>
                </c:pt>
                <c:pt idx="12">
                  <c:v>wk2442</c:v>
                </c:pt>
                <c:pt idx="13">
                  <c:v>wk2443</c:v>
                </c:pt>
                <c:pt idx="14">
                  <c:v>wk2444</c:v>
                </c:pt>
                <c:pt idx="15">
                  <c:v>wk2445</c:v>
                </c:pt>
                <c:pt idx="16">
                  <c:v>wk2446</c:v>
                </c:pt>
                <c:pt idx="17">
                  <c:v>wk2447</c:v>
                </c:pt>
                <c:pt idx="18">
                  <c:v>wk2448</c:v>
                </c:pt>
                <c:pt idx="19">
                  <c:v>wk2449</c:v>
                </c:pt>
                <c:pt idx="20">
                  <c:v>wk2450</c:v>
                </c:pt>
                <c:pt idx="21">
                  <c:v>wk2451</c:v>
                </c:pt>
                <c:pt idx="22">
                  <c:v>wk2452</c:v>
                </c:pt>
                <c:pt idx="23">
                  <c:v>wk2501</c:v>
                </c:pt>
                <c:pt idx="24">
                  <c:v>wk2502</c:v>
                </c:pt>
              </c:strCache>
            </c:strRef>
          </c:cat>
          <c:val>
            <c:numRef>
              <c:f>'AV&amp;Utilization'!$M$14:$M$28</c:f>
              <c:numCache>
                <c:formatCode>0.0%;\-0.0%;0.0%</c:formatCode>
                <c:ptCount val="15"/>
                <c:pt idx="2">
                  <c:v>0.44352990361044697</c:v>
                </c:pt>
                <c:pt idx="3">
                  <c:v>0.57812164302898217</c:v>
                </c:pt>
                <c:pt idx="4">
                  <c:v>0.693245914397425</c:v>
                </c:pt>
                <c:pt idx="5">
                  <c:v>0.77042815996583525</c:v>
                </c:pt>
                <c:pt idx="6">
                  <c:v>0.88677303885126768</c:v>
                </c:pt>
                <c:pt idx="7">
                  <c:v>0.89616676451655153</c:v>
                </c:pt>
                <c:pt idx="8">
                  <c:v>0.871041602596483</c:v>
                </c:pt>
                <c:pt idx="9">
                  <c:v>0.86188506849247115</c:v>
                </c:pt>
                <c:pt idx="10">
                  <c:v>0.80556197945204322</c:v>
                </c:pt>
                <c:pt idx="11">
                  <c:v>0.77401121412774232</c:v>
                </c:pt>
                <c:pt idx="12">
                  <c:v>0.71322894157306727</c:v>
                </c:pt>
                <c:pt idx="13">
                  <c:v>0.59140885423108203</c:v>
                </c:pt>
                <c:pt idx="14">
                  <c:v>0.65898518612624368</c:v>
                </c:pt>
              </c:numCache>
            </c:numRef>
          </c:val>
          <c:smooth val="0"/>
          <c:extLst>
            <c:ext xmlns:c16="http://schemas.microsoft.com/office/drawing/2014/chart" uri="{C3380CC4-5D6E-409C-BE32-E72D297353CC}">
              <c16:uniqueId val="{00000005-F797-4338-A1CB-4A62186911A8}"/>
            </c:ext>
          </c:extLst>
        </c:ser>
        <c:dLbls>
          <c:showLegendKey val="0"/>
          <c:showVal val="0"/>
          <c:showCatName val="0"/>
          <c:showSerName val="0"/>
          <c:showPercent val="0"/>
          <c:showBubbleSize val="0"/>
        </c:dLbls>
        <c:marker val="1"/>
        <c:smooth val="0"/>
        <c:axId val="923793232"/>
        <c:axId val="923795392"/>
      </c:lineChart>
      <c:scatterChart>
        <c:scatterStyle val="lineMarker"/>
        <c:varyColors val="0"/>
        <c:ser>
          <c:idx val="4"/>
          <c:order val="2"/>
          <c:tx>
            <c:strRef>
              <c:f>'AV&amp;Utilization'!$K$3</c:f>
              <c:strCache>
                <c:ptCount val="1"/>
                <c:pt idx="0">
                  <c:v>Intel 13wma</c:v>
                </c:pt>
              </c:strCache>
            </c:strRef>
          </c:tx>
          <c:spPr>
            <a:ln w="28575" cap="rnd">
              <a:solidFill>
                <a:schemeClr val="tx2"/>
              </a:solidFill>
              <a:prstDash val="dash"/>
              <a:round/>
            </a:ln>
            <a:effectLst/>
          </c:spPr>
          <c:marker>
            <c:symbol val="triangle"/>
            <c:size val="8"/>
            <c:spPr>
              <a:noFill/>
              <a:ln w="9525">
                <a:solidFill>
                  <a:schemeClr val="tx2"/>
                </a:solidFill>
                <a:prstDash val="solid"/>
              </a:ln>
              <a:effectLst/>
            </c:spPr>
          </c:marker>
          <c:yVal>
            <c:numRef>
              <c:f>'AV&amp;Utilization'!$K$14:$K$28</c:f>
              <c:numCache>
                <c:formatCode>0.0%;\-0.0%;0.0%</c:formatCode>
                <c:ptCount val="15"/>
                <c:pt idx="4">
                  <c:v>0.51790741360342485</c:v>
                </c:pt>
                <c:pt idx="5">
                  <c:v>0.50264760847562573</c:v>
                </c:pt>
                <c:pt idx="6">
                  <c:v>0.51680369977778728</c:v>
                </c:pt>
                <c:pt idx="7">
                  <c:v>0.55968367087912274</c:v>
                </c:pt>
                <c:pt idx="8">
                  <c:v>0.58377008509249217</c:v>
                </c:pt>
                <c:pt idx="9">
                  <c:v>0.60664221493240855</c:v>
                </c:pt>
                <c:pt idx="10">
                  <c:v>0.60886619854653989</c:v>
                </c:pt>
                <c:pt idx="11">
                  <c:v>0.60036943299879852</c:v>
                </c:pt>
                <c:pt idx="12">
                  <c:v>0.6707076462959497</c:v>
                </c:pt>
                <c:pt idx="13">
                  <c:v>0.72099999999999997</c:v>
                </c:pt>
                <c:pt idx="14">
                  <c:v>0.77200000000000002</c:v>
                </c:pt>
              </c:numCache>
            </c:numRef>
          </c:yVal>
          <c:smooth val="0"/>
          <c:extLst>
            <c:ext xmlns:c16="http://schemas.microsoft.com/office/drawing/2014/chart" uri="{C3380CC4-5D6E-409C-BE32-E72D297353CC}">
              <c16:uniqueId val="{00000007-F797-4338-A1CB-4A62186911A8}"/>
            </c:ext>
          </c:extLst>
        </c:ser>
        <c:ser>
          <c:idx val="5"/>
          <c:order val="5"/>
          <c:tx>
            <c:strRef>
              <c:f>'AV&amp;Utilization'!$N$3</c:f>
              <c:strCache>
                <c:ptCount val="1"/>
                <c:pt idx="0">
                  <c:v>RoW 13wma</c:v>
                </c:pt>
              </c:strCache>
            </c:strRef>
          </c:tx>
          <c:spPr>
            <a:ln w="28575" cap="rnd">
              <a:solidFill>
                <a:schemeClr val="accent3"/>
              </a:solidFill>
              <a:prstDash val="dash"/>
              <a:round/>
            </a:ln>
            <a:effectLst/>
          </c:spPr>
          <c:marker>
            <c:symbol val="diamond"/>
            <c:size val="8"/>
            <c:spPr>
              <a:noFill/>
              <a:ln w="9525">
                <a:solidFill>
                  <a:schemeClr val="accent3"/>
                </a:solidFill>
              </a:ln>
              <a:effectLst/>
            </c:spPr>
          </c:marker>
          <c:yVal>
            <c:numRef>
              <c:f>'AV&amp;Utilization'!$N$14:$N$28</c:f>
              <c:numCache>
                <c:formatCode>0.0%;\-0.0%;0.0%</c:formatCode>
                <c:ptCount val="15"/>
                <c:pt idx="11">
                  <c:v>0.71899999999999997</c:v>
                </c:pt>
                <c:pt idx="12">
                  <c:v>0.74099999999999999</c:v>
                </c:pt>
                <c:pt idx="13">
                  <c:v>0.73981334434210533</c:v>
                </c:pt>
                <c:pt idx="14">
                  <c:v>0.75637607755489156</c:v>
                </c:pt>
              </c:numCache>
            </c:numRef>
          </c:yVal>
          <c:smooth val="0"/>
          <c:extLst>
            <c:ext xmlns:c16="http://schemas.microsoft.com/office/drawing/2014/chart" uri="{C3380CC4-5D6E-409C-BE32-E72D297353CC}">
              <c16:uniqueId val="{0000000A-F797-4338-A1CB-4A62186911A8}"/>
            </c:ext>
          </c:extLst>
        </c:ser>
        <c:dLbls>
          <c:showLegendKey val="0"/>
          <c:showVal val="0"/>
          <c:showCatName val="0"/>
          <c:showSerName val="0"/>
          <c:showPercent val="0"/>
          <c:showBubbleSize val="0"/>
        </c:dLbls>
        <c:axId val="923793232"/>
        <c:axId val="923795392"/>
      </c:scatterChart>
      <c:catAx>
        <c:axId val="92379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5392"/>
        <c:crosses val="autoZero"/>
        <c:auto val="1"/>
        <c:lblAlgn val="ctr"/>
        <c:lblOffset val="100"/>
        <c:noMultiLvlLbl val="0"/>
      </c:catAx>
      <c:valAx>
        <c:axId val="923795392"/>
        <c:scaling>
          <c:orientation val="minMax"/>
          <c:max val="1"/>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MTBF [hrs]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3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MTBF_hits_comparison!$B$2</c:f>
          <c:strCache>
            <c:ptCount val="1"/>
            <c:pt idx="0">
              <c:v>Intel</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6.5310222059241627E-2"/>
          <c:y val="0.18861613628663437"/>
          <c:w val="0.83646990398185972"/>
          <c:h val="0.54379470122732509"/>
        </c:manualLayout>
      </c:layout>
      <c:barChart>
        <c:barDir val="col"/>
        <c:grouping val="clustered"/>
        <c:varyColors val="0"/>
        <c:ser>
          <c:idx val="0"/>
          <c:order val="0"/>
          <c:tx>
            <c:strRef>
              <c:f>MTBF_hits_comparison!$B$3</c:f>
              <c:strCache>
                <c:ptCount val="1"/>
                <c:pt idx="0">
                  <c:v>#hits</c:v>
                </c:pt>
              </c:strCache>
            </c:strRef>
          </c:tx>
          <c:spPr>
            <a:solidFill>
              <a:schemeClr val="accent1"/>
            </a:solidFill>
            <a:ln>
              <a:noFill/>
            </a:ln>
            <a:effectLst/>
          </c:spPr>
          <c:invertIfNegative val="0"/>
          <c:cat>
            <c:numRef>
              <c:f>MTBF_hits_comparison!$A$4:$A$16</c:f>
              <c:numCache>
                <c:formatCode>General</c:formatCode>
                <c:ptCount val="13"/>
                <c:pt idx="0">
                  <c:v>2442</c:v>
                </c:pt>
                <c:pt idx="1">
                  <c:v>2443</c:v>
                </c:pt>
                <c:pt idx="2">
                  <c:v>2444</c:v>
                </c:pt>
                <c:pt idx="3">
                  <c:v>2445</c:v>
                </c:pt>
                <c:pt idx="4">
                  <c:v>2446</c:v>
                </c:pt>
                <c:pt idx="5">
                  <c:v>2447</c:v>
                </c:pt>
                <c:pt idx="6">
                  <c:v>2448</c:v>
                </c:pt>
                <c:pt idx="7">
                  <c:v>2449</c:v>
                </c:pt>
                <c:pt idx="8">
                  <c:v>2450</c:v>
                </c:pt>
                <c:pt idx="9">
                  <c:v>2451</c:v>
                </c:pt>
                <c:pt idx="10">
                  <c:v>2452</c:v>
                </c:pt>
                <c:pt idx="11">
                  <c:v>2501</c:v>
                </c:pt>
                <c:pt idx="12">
                  <c:v>2502</c:v>
                </c:pt>
              </c:numCache>
            </c:numRef>
          </c:cat>
          <c:val>
            <c:numRef>
              <c:f>MTBF_hits_comparison!$B$4:$B$16</c:f>
              <c:numCache>
                <c:formatCode>General</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extLst>
            <c:ext xmlns:c16="http://schemas.microsoft.com/office/drawing/2014/chart" uri="{C3380CC4-5D6E-409C-BE32-E72D297353CC}">
              <c16:uniqueId val="{00000000-1232-49DC-AAFF-3FF9DCA451C2}"/>
            </c:ext>
          </c:extLst>
        </c:ser>
        <c:dLbls>
          <c:showLegendKey val="0"/>
          <c:showVal val="0"/>
          <c:showCatName val="0"/>
          <c:showSerName val="0"/>
          <c:showPercent val="0"/>
          <c:showBubbleSize val="0"/>
        </c:dLbls>
        <c:gapWidth val="219"/>
        <c:overlap val="-27"/>
        <c:axId val="783019688"/>
        <c:axId val="783020768"/>
      </c:barChart>
      <c:lineChart>
        <c:grouping val="standard"/>
        <c:varyColors val="0"/>
        <c:ser>
          <c:idx val="3"/>
          <c:order val="1"/>
          <c:tx>
            <c:strRef>
              <c:f>MTBF_hits_comparison!$E$3</c:f>
              <c:strCache>
                <c:ptCount val="1"/>
                <c:pt idx="0">
                  <c:v>MTBFp 13wma</c:v>
                </c:pt>
              </c:strCache>
            </c:strRef>
          </c:tx>
          <c:spPr>
            <a:ln w="28575" cap="rnd">
              <a:solidFill>
                <a:schemeClr val="accent4"/>
              </a:solidFill>
              <a:round/>
            </a:ln>
            <a:effectLst/>
          </c:spPr>
          <c:marker>
            <c:symbol val="none"/>
          </c:marker>
          <c:cat>
            <c:numRef>
              <c:f>MTBF_hits_comparison!$A$4:$A$16</c:f>
              <c:numCache>
                <c:formatCode>General</c:formatCode>
                <c:ptCount val="13"/>
                <c:pt idx="0">
                  <c:v>2442</c:v>
                </c:pt>
                <c:pt idx="1">
                  <c:v>2443</c:v>
                </c:pt>
                <c:pt idx="2">
                  <c:v>2444</c:v>
                </c:pt>
                <c:pt idx="3">
                  <c:v>2445</c:v>
                </c:pt>
                <c:pt idx="4">
                  <c:v>2446</c:v>
                </c:pt>
                <c:pt idx="5">
                  <c:v>2447</c:v>
                </c:pt>
                <c:pt idx="6">
                  <c:v>2448</c:v>
                </c:pt>
                <c:pt idx="7">
                  <c:v>2449</c:v>
                </c:pt>
                <c:pt idx="8">
                  <c:v>2450</c:v>
                </c:pt>
                <c:pt idx="9">
                  <c:v>2451</c:v>
                </c:pt>
                <c:pt idx="10">
                  <c:v>2452</c:v>
                </c:pt>
                <c:pt idx="11">
                  <c:v>2501</c:v>
                </c:pt>
                <c:pt idx="12">
                  <c:v>2502</c:v>
                </c:pt>
              </c:numCache>
            </c:numRef>
          </c:cat>
          <c:val>
            <c:numRef>
              <c:f>MTBF_hits_comparison!$E$4:$E$16</c:f>
              <c:numCache>
                <c:formatCode>0.0</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smooth val="0"/>
          <c:extLst>
            <c:ext xmlns:c16="http://schemas.microsoft.com/office/drawing/2014/chart" uri="{C3380CC4-5D6E-409C-BE32-E72D297353CC}">
              <c16:uniqueId val="{00000003-1232-49DC-AAFF-3FF9DCA451C2}"/>
            </c:ext>
          </c:extLst>
        </c:ser>
        <c:dLbls>
          <c:showLegendKey val="0"/>
          <c:showVal val="0"/>
          <c:showCatName val="0"/>
          <c:showSerName val="0"/>
          <c:showPercent val="0"/>
          <c:showBubbleSize val="0"/>
        </c:dLbls>
        <c:marker val="1"/>
        <c:smooth val="0"/>
        <c:axId val="19979007"/>
        <c:axId val="19969287"/>
      </c:lineChart>
      <c:catAx>
        <c:axId val="7830196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3020768"/>
        <c:crosses val="autoZero"/>
        <c:auto val="1"/>
        <c:lblAlgn val="ctr"/>
        <c:lblOffset val="100"/>
        <c:noMultiLvlLbl val="0"/>
      </c:catAx>
      <c:valAx>
        <c:axId val="783020768"/>
        <c:scaling>
          <c:orientation val="minMax"/>
          <c:max val="5"/>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 hits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3019688"/>
        <c:crosses val="autoZero"/>
        <c:crossBetween val="between"/>
        <c:majorUnit val="1"/>
      </c:valAx>
      <c:valAx>
        <c:axId val="19969287"/>
        <c:scaling>
          <c:orientation val="minMax"/>
          <c:max val="100"/>
        </c:scaling>
        <c:delete val="0"/>
        <c:axPos val="r"/>
        <c:title>
          <c:tx>
            <c:strRef>
              <c:f>"="</c:f>
              <c:strCache>
                <c:ptCount val="1"/>
                <c:pt idx="0">
                  <c:v>=</c:v>
                </c:pt>
              </c:strCache>
            </c:strRef>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979007"/>
        <c:crosses val="max"/>
        <c:crossBetween val="between"/>
        <c:majorUnit val="20"/>
      </c:valAx>
      <c:catAx>
        <c:axId val="19979007"/>
        <c:scaling>
          <c:orientation val="minMax"/>
        </c:scaling>
        <c:delete val="1"/>
        <c:axPos val="b"/>
        <c:numFmt formatCode="General" sourceLinked="1"/>
        <c:majorTickMark val="out"/>
        <c:minorTickMark val="none"/>
        <c:tickLblPos val="nextTo"/>
        <c:crossAx val="19969287"/>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MTBF_hits_comparison!$F$2</c:f>
          <c:strCache>
            <c:ptCount val="1"/>
            <c:pt idx="0">
              <c:v>RoW1</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6.5310222059241627E-2"/>
          <c:y val="0.18861613628663437"/>
          <c:w val="0.83646990398185972"/>
          <c:h val="0.54379470122732509"/>
        </c:manualLayout>
      </c:layout>
      <c:barChart>
        <c:barDir val="col"/>
        <c:grouping val="clustered"/>
        <c:varyColors val="0"/>
        <c:ser>
          <c:idx val="0"/>
          <c:order val="0"/>
          <c:tx>
            <c:strRef>
              <c:f>MTBF_hits_comparison!$F$3</c:f>
              <c:strCache>
                <c:ptCount val="1"/>
                <c:pt idx="0">
                  <c:v>#hits</c:v>
                </c:pt>
              </c:strCache>
            </c:strRef>
          </c:tx>
          <c:spPr>
            <a:solidFill>
              <a:schemeClr val="accent3"/>
            </a:solidFill>
            <a:ln>
              <a:noFill/>
            </a:ln>
            <a:effectLst/>
          </c:spPr>
          <c:invertIfNegative val="0"/>
          <c:cat>
            <c:numRef>
              <c:f>MTBF_hits_comparison!$A$4:$A$16</c:f>
              <c:numCache>
                <c:formatCode>General</c:formatCode>
                <c:ptCount val="13"/>
                <c:pt idx="0">
                  <c:v>2442</c:v>
                </c:pt>
                <c:pt idx="1">
                  <c:v>2443</c:v>
                </c:pt>
                <c:pt idx="2">
                  <c:v>2444</c:v>
                </c:pt>
                <c:pt idx="3">
                  <c:v>2445</c:v>
                </c:pt>
                <c:pt idx="4">
                  <c:v>2446</c:v>
                </c:pt>
                <c:pt idx="5">
                  <c:v>2447</c:v>
                </c:pt>
                <c:pt idx="6">
                  <c:v>2448</c:v>
                </c:pt>
                <c:pt idx="7">
                  <c:v>2449</c:v>
                </c:pt>
                <c:pt idx="8">
                  <c:v>2450</c:v>
                </c:pt>
                <c:pt idx="9">
                  <c:v>2451</c:v>
                </c:pt>
                <c:pt idx="10">
                  <c:v>2452</c:v>
                </c:pt>
                <c:pt idx="11">
                  <c:v>2501</c:v>
                </c:pt>
                <c:pt idx="12">
                  <c:v>2502</c:v>
                </c:pt>
              </c:numCache>
            </c:numRef>
          </c:cat>
          <c:val>
            <c:numRef>
              <c:f>MTBF_hits_comparison!$F$4:$F$16</c:f>
              <c:numCache>
                <c:formatCode>General</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extLst>
            <c:ext xmlns:c16="http://schemas.microsoft.com/office/drawing/2014/chart" uri="{C3380CC4-5D6E-409C-BE32-E72D297353CC}">
              <c16:uniqueId val="{00000000-1232-49DC-AAFF-3FF9DCA451C2}"/>
            </c:ext>
          </c:extLst>
        </c:ser>
        <c:dLbls>
          <c:showLegendKey val="0"/>
          <c:showVal val="0"/>
          <c:showCatName val="0"/>
          <c:showSerName val="0"/>
          <c:showPercent val="0"/>
          <c:showBubbleSize val="0"/>
        </c:dLbls>
        <c:gapWidth val="219"/>
        <c:overlap val="-27"/>
        <c:axId val="783019688"/>
        <c:axId val="783020768"/>
      </c:barChart>
      <c:lineChart>
        <c:grouping val="standard"/>
        <c:varyColors val="0"/>
        <c:ser>
          <c:idx val="3"/>
          <c:order val="1"/>
          <c:tx>
            <c:strRef>
              <c:f>MTBF_hits_comparison!$I$3</c:f>
              <c:strCache>
                <c:ptCount val="1"/>
                <c:pt idx="0">
                  <c:v>MTBFp 13wma</c:v>
                </c:pt>
              </c:strCache>
            </c:strRef>
          </c:tx>
          <c:spPr>
            <a:ln w="28575" cap="rnd">
              <a:solidFill>
                <a:schemeClr val="accent4"/>
              </a:solidFill>
              <a:round/>
            </a:ln>
            <a:effectLst/>
          </c:spPr>
          <c:marker>
            <c:symbol val="none"/>
          </c:marker>
          <c:cat>
            <c:numRef>
              <c:f>MTBF_hits_comparison!$A$4:$A$16</c:f>
              <c:numCache>
                <c:formatCode>General</c:formatCode>
                <c:ptCount val="13"/>
                <c:pt idx="0">
                  <c:v>2442</c:v>
                </c:pt>
                <c:pt idx="1">
                  <c:v>2443</c:v>
                </c:pt>
                <c:pt idx="2">
                  <c:v>2444</c:v>
                </c:pt>
                <c:pt idx="3">
                  <c:v>2445</c:v>
                </c:pt>
                <c:pt idx="4">
                  <c:v>2446</c:v>
                </c:pt>
                <c:pt idx="5">
                  <c:v>2447</c:v>
                </c:pt>
                <c:pt idx="6">
                  <c:v>2448</c:v>
                </c:pt>
                <c:pt idx="7">
                  <c:v>2449</c:v>
                </c:pt>
                <c:pt idx="8">
                  <c:v>2450</c:v>
                </c:pt>
                <c:pt idx="9">
                  <c:v>2451</c:v>
                </c:pt>
                <c:pt idx="10">
                  <c:v>2452</c:v>
                </c:pt>
                <c:pt idx="11">
                  <c:v>2501</c:v>
                </c:pt>
                <c:pt idx="12">
                  <c:v>2502</c:v>
                </c:pt>
              </c:numCache>
            </c:numRef>
          </c:cat>
          <c:val>
            <c:numRef>
              <c:f>MTBF_hits_comparison!$I$4:$I$16</c:f>
              <c:numCache>
                <c:formatCode>0.0</c:formatCode>
                <c:ptCount val="13"/>
                <c:pt idx="7">
                  <c:v>0</c:v>
                </c:pt>
                <c:pt idx="8">
                  <c:v>0</c:v>
                </c:pt>
                <c:pt idx="9">
                  <c:v>0</c:v>
                </c:pt>
                <c:pt idx="10">
                  <c:v>0</c:v>
                </c:pt>
                <c:pt idx="11">
                  <c:v>0</c:v>
                </c:pt>
                <c:pt idx="12">
                  <c:v>0</c:v>
                </c:pt>
              </c:numCache>
            </c:numRef>
          </c:val>
          <c:smooth val="0"/>
          <c:extLst>
            <c:ext xmlns:c16="http://schemas.microsoft.com/office/drawing/2014/chart" uri="{C3380CC4-5D6E-409C-BE32-E72D297353CC}">
              <c16:uniqueId val="{00000003-1232-49DC-AAFF-3FF9DCA451C2}"/>
            </c:ext>
          </c:extLst>
        </c:ser>
        <c:dLbls>
          <c:showLegendKey val="0"/>
          <c:showVal val="0"/>
          <c:showCatName val="0"/>
          <c:showSerName val="0"/>
          <c:showPercent val="0"/>
          <c:showBubbleSize val="0"/>
        </c:dLbls>
        <c:marker val="1"/>
        <c:smooth val="0"/>
        <c:axId val="19979007"/>
        <c:axId val="19969287"/>
      </c:lineChart>
      <c:catAx>
        <c:axId val="7830196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3020768"/>
        <c:crosses val="autoZero"/>
        <c:auto val="1"/>
        <c:lblAlgn val="ctr"/>
        <c:lblOffset val="100"/>
        <c:noMultiLvlLbl val="0"/>
      </c:catAx>
      <c:valAx>
        <c:axId val="783020768"/>
        <c:scaling>
          <c:orientation val="minMax"/>
          <c:max val="5"/>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 hits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3019688"/>
        <c:crosses val="autoZero"/>
        <c:crossBetween val="between"/>
        <c:majorUnit val="1"/>
      </c:valAx>
      <c:valAx>
        <c:axId val="19969287"/>
        <c:scaling>
          <c:orientation val="minMax"/>
          <c:max val="100"/>
        </c:scaling>
        <c:delete val="0"/>
        <c:axPos val="r"/>
        <c:title>
          <c:tx>
            <c:strRef>
              <c:f>"="</c:f>
              <c:strCache>
                <c:ptCount val="1"/>
                <c:pt idx="0">
                  <c:v>=</c:v>
                </c:pt>
              </c:strCache>
            </c:strRef>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979007"/>
        <c:crosses val="max"/>
        <c:crossBetween val="between"/>
        <c:majorUnit val="20"/>
      </c:valAx>
      <c:catAx>
        <c:axId val="19979007"/>
        <c:scaling>
          <c:orientation val="minMax"/>
        </c:scaling>
        <c:delete val="1"/>
        <c:axPos val="b"/>
        <c:numFmt formatCode="General" sourceLinked="1"/>
        <c:majorTickMark val="out"/>
        <c:minorTickMark val="none"/>
        <c:tickLblPos val="nextTo"/>
        <c:crossAx val="19969287"/>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MTBF_hits_comparison!$J$2</c:f>
          <c:strCache>
            <c:ptCount val="1"/>
            <c:pt idx="0">
              <c:v>RoW2</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6.5310222059241627E-2"/>
          <c:y val="0.18861613628663437"/>
          <c:w val="0.83646990398185972"/>
          <c:h val="0.54379470122732509"/>
        </c:manualLayout>
      </c:layout>
      <c:barChart>
        <c:barDir val="col"/>
        <c:grouping val="clustered"/>
        <c:varyColors val="0"/>
        <c:ser>
          <c:idx val="0"/>
          <c:order val="0"/>
          <c:tx>
            <c:strRef>
              <c:f>MTBF_hits_comparison!$J$3</c:f>
              <c:strCache>
                <c:ptCount val="1"/>
                <c:pt idx="0">
                  <c:v>#hits</c:v>
                </c:pt>
              </c:strCache>
            </c:strRef>
          </c:tx>
          <c:spPr>
            <a:solidFill>
              <a:schemeClr val="accent3"/>
            </a:solidFill>
            <a:ln>
              <a:noFill/>
            </a:ln>
            <a:effectLst/>
          </c:spPr>
          <c:invertIfNegative val="0"/>
          <c:cat>
            <c:numRef>
              <c:f>MTBF_hits_comparison!$A$4:$A$16</c:f>
              <c:numCache>
                <c:formatCode>General</c:formatCode>
                <c:ptCount val="13"/>
                <c:pt idx="0">
                  <c:v>2442</c:v>
                </c:pt>
                <c:pt idx="1">
                  <c:v>2443</c:v>
                </c:pt>
                <c:pt idx="2">
                  <c:v>2444</c:v>
                </c:pt>
                <c:pt idx="3">
                  <c:v>2445</c:v>
                </c:pt>
                <c:pt idx="4">
                  <c:v>2446</c:v>
                </c:pt>
                <c:pt idx="5">
                  <c:v>2447</c:v>
                </c:pt>
                <c:pt idx="6">
                  <c:v>2448</c:v>
                </c:pt>
                <c:pt idx="7">
                  <c:v>2449</c:v>
                </c:pt>
                <c:pt idx="8">
                  <c:v>2450</c:v>
                </c:pt>
                <c:pt idx="9">
                  <c:v>2451</c:v>
                </c:pt>
                <c:pt idx="10">
                  <c:v>2452</c:v>
                </c:pt>
                <c:pt idx="11">
                  <c:v>2501</c:v>
                </c:pt>
                <c:pt idx="12">
                  <c:v>2502</c:v>
                </c:pt>
              </c:numCache>
            </c:numRef>
          </c:cat>
          <c:val>
            <c:numRef>
              <c:f>MTBF_hits_comparison!$J$4:$J$16</c:f>
              <c:numCache>
                <c:formatCode>General</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extLst>
            <c:ext xmlns:c16="http://schemas.microsoft.com/office/drawing/2014/chart" uri="{C3380CC4-5D6E-409C-BE32-E72D297353CC}">
              <c16:uniqueId val="{00000000-1232-49DC-AAFF-3FF9DCA451C2}"/>
            </c:ext>
          </c:extLst>
        </c:ser>
        <c:dLbls>
          <c:showLegendKey val="0"/>
          <c:showVal val="0"/>
          <c:showCatName val="0"/>
          <c:showSerName val="0"/>
          <c:showPercent val="0"/>
          <c:showBubbleSize val="0"/>
        </c:dLbls>
        <c:gapWidth val="219"/>
        <c:overlap val="-27"/>
        <c:axId val="783019688"/>
        <c:axId val="783020768"/>
      </c:barChart>
      <c:lineChart>
        <c:grouping val="standard"/>
        <c:varyColors val="0"/>
        <c:ser>
          <c:idx val="3"/>
          <c:order val="1"/>
          <c:tx>
            <c:strRef>
              <c:f>MTBF_hits_comparison!$M$3</c:f>
              <c:strCache>
                <c:ptCount val="1"/>
                <c:pt idx="0">
                  <c:v>MTBFp 13wma</c:v>
                </c:pt>
              </c:strCache>
            </c:strRef>
          </c:tx>
          <c:spPr>
            <a:ln w="28575" cap="rnd">
              <a:solidFill>
                <a:schemeClr val="accent4"/>
              </a:solidFill>
              <a:round/>
            </a:ln>
            <a:effectLst/>
          </c:spPr>
          <c:marker>
            <c:symbol val="none"/>
          </c:marker>
          <c:cat>
            <c:numRef>
              <c:f>MTBF_hits_comparison!$A$4:$A$16</c:f>
              <c:numCache>
                <c:formatCode>General</c:formatCode>
                <c:ptCount val="13"/>
                <c:pt idx="0">
                  <c:v>2442</c:v>
                </c:pt>
                <c:pt idx="1">
                  <c:v>2443</c:v>
                </c:pt>
                <c:pt idx="2">
                  <c:v>2444</c:v>
                </c:pt>
                <c:pt idx="3">
                  <c:v>2445</c:v>
                </c:pt>
                <c:pt idx="4">
                  <c:v>2446</c:v>
                </c:pt>
                <c:pt idx="5">
                  <c:v>2447</c:v>
                </c:pt>
                <c:pt idx="6">
                  <c:v>2448</c:v>
                </c:pt>
                <c:pt idx="7">
                  <c:v>2449</c:v>
                </c:pt>
                <c:pt idx="8">
                  <c:v>2450</c:v>
                </c:pt>
                <c:pt idx="9">
                  <c:v>2451</c:v>
                </c:pt>
                <c:pt idx="10">
                  <c:v>2452</c:v>
                </c:pt>
                <c:pt idx="11">
                  <c:v>2501</c:v>
                </c:pt>
                <c:pt idx="12">
                  <c:v>2502</c:v>
                </c:pt>
              </c:numCache>
            </c:numRef>
          </c:cat>
          <c:val>
            <c:numRef>
              <c:f>MTBF_hits_comparison!$M$4:$M$16</c:f>
              <c:numCache>
                <c:formatCode>0.0</c:formatCode>
                <c:ptCount val="13"/>
                <c:pt idx="6">
                  <c:v>0</c:v>
                </c:pt>
                <c:pt idx="7">
                  <c:v>0</c:v>
                </c:pt>
                <c:pt idx="8">
                  <c:v>0</c:v>
                </c:pt>
                <c:pt idx="9">
                  <c:v>0</c:v>
                </c:pt>
                <c:pt idx="10">
                  <c:v>0</c:v>
                </c:pt>
                <c:pt idx="11">
                  <c:v>0</c:v>
                </c:pt>
                <c:pt idx="12">
                  <c:v>0</c:v>
                </c:pt>
              </c:numCache>
            </c:numRef>
          </c:val>
          <c:smooth val="0"/>
          <c:extLst>
            <c:ext xmlns:c16="http://schemas.microsoft.com/office/drawing/2014/chart" uri="{C3380CC4-5D6E-409C-BE32-E72D297353CC}">
              <c16:uniqueId val="{00000003-1232-49DC-AAFF-3FF9DCA451C2}"/>
            </c:ext>
          </c:extLst>
        </c:ser>
        <c:dLbls>
          <c:showLegendKey val="0"/>
          <c:showVal val="0"/>
          <c:showCatName val="0"/>
          <c:showSerName val="0"/>
          <c:showPercent val="0"/>
          <c:showBubbleSize val="0"/>
        </c:dLbls>
        <c:marker val="1"/>
        <c:smooth val="0"/>
        <c:axId val="19979007"/>
        <c:axId val="19969287"/>
      </c:lineChart>
      <c:catAx>
        <c:axId val="7830196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3020768"/>
        <c:crosses val="autoZero"/>
        <c:auto val="1"/>
        <c:lblAlgn val="ctr"/>
        <c:lblOffset val="100"/>
        <c:noMultiLvlLbl val="0"/>
      </c:catAx>
      <c:valAx>
        <c:axId val="783020768"/>
        <c:scaling>
          <c:orientation val="minMax"/>
          <c:max val="5"/>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 hits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3019688"/>
        <c:crosses val="autoZero"/>
        <c:crossBetween val="between"/>
        <c:majorUnit val="1"/>
      </c:valAx>
      <c:valAx>
        <c:axId val="19969287"/>
        <c:scaling>
          <c:orientation val="minMax"/>
          <c:max val="100"/>
        </c:scaling>
        <c:delete val="0"/>
        <c:axPos val="r"/>
        <c:title>
          <c:tx>
            <c:strRef>
              <c:f>"="</c:f>
              <c:strCache>
                <c:ptCount val="1"/>
                <c:pt idx="0">
                  <c:v>=</c:v>
                </c:pt>
              </c:strCache>
            </c:strRef>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979007"/>
        <c:crosses val="max"/>
        <c:crossBetween val="between"/>
        <c:majorUnit val="20"/>
      </c:valAx>
      <c:catAx>
        <c:axId val="19979007"/>
        <c:scaling>
          <c:orientation val="minMax"/>
        </c:scaling>
        <c:delete val="1"/>
        <c:axPos val="b"/>
        <c:numFmt formatCode="General" sourceLinked="1"/>
        <c:majorTickMark val="out"/>
        <c:minorTickMark val="none"/>
        <c:tickLblPos val="nextTo"/>
        <c:crossAx val="19969287"/>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'Waterfall EZ60'!$L$5</c:f>
              <c:strCache>
                <c:ptCount val="1"/>
                <c:pt idx="0">
                  <c:v>Subtotal</c:v>
                </c:pt>
              </c:strCache>
            </c:strRef>
          </c:tx>
          <c:spPr>
            <a:solidFill>
              <a:schemeClr val="accent1"/>
            </a:solidFill>
            <a:ln>
              <a:noFill/>
            </a:ln>
            <a:effectLst/>
          </c:spPr>
          <c:invertIfNegative val="0"/>
          <c:dPt>
            <c:idx val="3"/>
            <c:invertIfNegative val="0"/>
            <c:bubble3D val="0"/>
            <c:spPr>
              <a:solidFill>
                <a:schemeClr val="accent6"/>
              </a:solidFill>
              <a:ln>
                <a:noFill/>
              </a:ln>
              <a:effectLst/>
            </c:spPr>
            <c:extLst>
              <c:ext xmlns:c16="http://schemas.microsoft.com/office/drawing/2014/chart" uri="{C3380CC4-5D6E-409C-BE32-E72D297353CC}">
                <c16:uniqueId val="{00000001-D7FE-441D-9338-6B771E3D7CD8}"/>
              </c:ext>
            </c:extLst>
          </c:dPt>
          <c:dPt>
            <c:idx val="7"/>
            <c:invertIfNegative val="0"/>
            <c:bubble3D val="0"/>
            <c:spPr>
              <a:solidFill>
                <a:schemeClr val="accent3"/>
              </a:solidFill>
              <a:ln>
                <a:noFill/>
              </a:ln>
              <a:effectLst/>
            </c:spPr>
            <c:extLst>
              <c:ext xmlns:c16="http://schemas.microsoft.com/office/drawing/2014/chart" uri="{C3380CC4-5D6E-409C-BE32-E72D297353CC}">
                <c16:uniqueId val="{00000003-D7FE-441D-9338-6B771E3D7CD8}"/>
              </c:ext>
            </c:extLst>
          </c:dPt>
          <c:cat>
            <c:strRef>
              <c:f>'Waterfall EZ60'!$K$6:$K$30</c:f>
              <c:strCache>
                <c:ptCount val="10"/>
                <c:pt idx="0">
                  <c:v>Baseline</c:v>
                </c:pt>
                <c:pt idx="1">
                  <c:v>P800996 - PG-48B4</c:v>
                </c:pt>
                <c:pt idx="2">
                  <c:v>P704909 - XNC-00C0</c:v>
                </c:pt>
                <c:pt idx="3">
                  <c:v>Solved</c:v>
                </c:pt>
                <c:pt idx="4">
                  <c:v>P732021 - LAA-010B</c:v>
                </c:pt>
                <c:pt idx="5">
                  <c:v>P814396 - WH-3104</c:v>
                </c:pt>
                <c:pt idx="6">
                  <c:v>P817313 - not found</c:v>
                </c:pt>
                <c:pt idx="7">
                  <c:v>Planned</c:v>
                </c:pt>
                <c:pt idx="8">
                  <c:v>P817307 - RQ-B006</c:v>
                </c:pt>
                <c:pt idx="9">
                  <c:v>To be planned</c:v>
                </c:pt>
              </c:strCache>
            </c:strRef>
          </c:cat>
          <c:val>
            <c:numRef>
              <c:f>'Waterfall EZ60'!$L$6:$L$30</c:f>
              <c:numCache>
                <c:formatCode>0.0</c:formatCode>
                <c:ptCount val="10"/>
                <c:pt idx="0">
                  <c:v>0</c:v>
                </c:pt>
                <c:pt idx="3">
                  <c:v>0</c:v>
                </c:pt>
                <c:pt idx="7">
                  <c:v>0</c:v>
                </c:pt>
                <c:pt idx="9">
                  <c:v>0</c:v>
                </c:pt>
              </c:numCache>
            </c:numRef>
          </c:val>
          <c:extLst>
            <c:ext xmlns:c16="http://schemas.microsoft.com/office/drawing/2014/chart" uri="{C3380CC4-5D6E-409C-BE32-E72D297353CC}">
              <c16:uniqueId val="{00000000-8586-47F4-975E-6BDB234C611F}"/>
            </c:ext>
          </c:extLst>
        </c:ser>
        <c:ser>
          <c:idx val="1"/>
          <c:order val="1"/>
          <c:tx>
            <c:strRef>
              <c:f>'Waterfall EZ60'!$M$5</c:f>
              <c:strCache>
                <c:ptCount val="1"/>
                <c:pt idx="0">
                  <c:v>white</c:v>
                </c:pt>
              </c:strCache>
            </c:strRef>
          </c:tx>
          <c:spPr>
            <a:noFill/>
            <a:ln>
              <a:noFill/>
            </a:ln>
            <a:effectLst/>
          </c:spPr>
          <c:invertIfNegative val="0"/>
          <c:cat>
            <c:strRef>
              <c:f>'Waterfall EZ60'!$K$6:$K$30</c:f>
              <c:strCache>
                <c:ptCount val="10"/>
                <c:pt idx="0">
                  <c:v>Baseline</c:v>
                </c:pt>
                <c:pt idx="1">
                  <c:v>P800996 - PG-48B4</c:v>
                </c:pt>
                <c:pt idx="2">
                  <c:v>P704909 - XNC-00C0</c:v>
                </c:pt>
                <c:pt idx="3">
                  <c:v>Solved</c:v>
                </c:pt>
                <c:pt idx="4">
                  <c:v>P732021 - LAA-010B</c:v>
                </c:pt>
                <c:pt idx="5">
                  <c:v>P814396 - WH-3104</c:v>
                </c:pt>
                <c:pt idx="6">
                  <c:v>P817313 - not found</c:v>
                </c:pt>
                <c:pt idx="7">
                  <c:v>Planned</c:v>
                </c:pt>
                <c:pt idx="8">
                  <c:v>P817307 - RQ-B006</c:v>
                </c:pt>
                <c:pt idx="9">
                  <c:v>To be planned</c:v>
                </c:pt>
              </c:strCache>
            </c:strRef>
          </c:cat>
          <c:val>
            <c:numRef>
              <c:f>'Waterfall EZ60'!$M$6:$M$30</c:f>
              <c:numCache>
                <c:formatCode>0.0</c:formatCode>
                <c:ptCount val="10"/>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8586-47F4-975E-6BDB234C611F}"/>
            </c:ext>
          </c:extLst>
        </c:ser>
        <c:ser>
          <c:idx val="2"/>
          <c:order val="2"/>
          <c:tx>
            <c:strRef>
              <c:f>'Waterfall EZ60'!$N$5</c:f>
              <c:strCache>
                <c:ptCount val="1"/>
                <c:pt idx="0">
                  <c:v>MTBF gain</c:v>
                </c:pt>
              </c:strCache>
            </c:strRef>
          </c:tx>
          <c:spPr>
            <a:solidFill>
              <a:schemeClr val="accent3">
                <a:lumMod val="20000"/>
                <a:lumOff val="80000"/>
              </a:schemeClr>
            </a:solidFill>
            <a:ln>
              <a:noFill/>
            </a:ln>
            <a:effectLst/>
          </c:spPr>
          <c:invertIfNegative val="0"/>
          <c:cat>
            <c:strRef>
              <c:f>'Waterfall EZ60'!$K$6:$K$30</c:f>
              <c:strCache>
                <c:ptCount val="10"/>
                <c:pt idx="0">
                  <c:v>Baseline</c:v>
                </c:pt>
                <c:pt idx="1">
                  <c:v>P800996 - PG-48B4</c:v>
                </c:pt>
                <c:pt idx="2">
                  <c:v>P704909 - XNC-00C0</c:v>
                </c:pt>
                <c:pt idx="3">
                  <c:v>Solved</c:v>
                </c:pt>
                <c:pt idx="4">
                  <c:v>P732021 - LAA-010B</c:v>
                </c:pt>
                <c:pt idx="5">
                  <c:v>P814396 - WH-3104</c:v>
                </c:pt>
                <c:pt idx="6">
                  <c:v>P817313 - not found</c:v>
                </c:pt>
                <c:pt idx="7">
                  <c:v>Planned</c:v>
                </c:pt>
                <c:pt idx="8">
                  <c:v>P817307 - RQ-B006</c:v>
                </c:pt>
                <c:pt idx="9">
                  <c:v>To be planned</c:v>
                </c:pt>
              </c:strCache>
            </c:strRef>
          </c:cat>
          <c:val>
            <c:numRef>
              <c:f>'Waterfall EZ60'!$N$6:$N$30</c:f>
              <c:numCache>
                <c:formatCode>0.0</c:formatCode>
                <c:ptCount val="10"/>
                <c:pt idx="1">
                  <c:v>0</c:v>
                </c:pt>
                <c:pt idx="2">
                  <c:v>0</c:v>
                </c:pt>
                <c:pt idx="4">
                  <c:v>0</c:v>
                </c:pt>
                <c:pt idx="5">
                  <c:v>0</c:v>
                </c:pt>
                <c:pt idx="6">
                  <c:v>0</c:v>
                </c:pt>
                <c:pt idx="8">
                  <c:v>0</c:v>
                </c:pt>
              </c:numCache>
            </c:numRef>
          </c:val>
          <c:extLst>
            <c:ext xmlns:c16="http://schemas.microsoft.com/office/drawing/2014/chart" uri="{C3380CC4-5D6E-409C-BE32-E72D297353CC}">
              <c16:uniqueId val="{00000002-8586-47F4-975E-6BDB234C611F}"/>
            </c:ext>
          </c:extLst>
        </c:ser>
        <c:dLbls>
          <c:showLegendKey val="0"/>
          <c:showVal val="0"/>
          <c:showCatName val="0"/>
          <c:showSerName val="0"/>
          <c:showPercent val="0"/>
          <c:showBubbleSize val="0"/>
        </c:dLbls>
        <c:gapWidth val="50"/>
        <c:overlap val="100"/>
        <c:axId val="200399935"/>
        <c:axId val="200407495"/>
      </c:barChart>
      <c:scatterChart>
        <c:scatterStyle val="lineMarker"/>
        <c:varyColors val="0"/>
        <c:ser>
          <c:idx val="3"/>
          <c:order val="3"/>
          <c:tx>
            <c:strRef>
              <c:f>'Waterfall EZ60'!$O$5</c:f>
              <c:strCache>
                <c:ptCount val="1"/>
                <c:pt idx="0">
                  <c:v>line</c:v>
                </c:pt>
              </c:strCache>
            </c:strRef>
          </c:tx>
          <c:spPr>
            <a:ln w="25400" cap="rnd">
              <a:noFill/>
              <a:round/>
            </a:ln>
            <a:effectLst/>
          </c:spPr>
          <c:marker>
            <c:symbol val="circle"/>
            <c:size val="5"/>
            <c:spPr>
              <a:noFill/>
              <a:ln w="9525">
                <a:noFill/>
              </a:ln>
              <a:effectLst/>
            </c:spPr>
          </c:marker>
          <c:dLbls>
            <c:spPr>
              <a:solidFill>
                <a:schemeClr val="bg1"/>
              </a:solidFill>
              <a:ln>
                <a:solidFill>
                  <a:sysClr val="windowText" lastClr="000000"/>
                </a:solid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'Waterfall EZ60'!$K$6:$K$30</c:f>
              <c:strCache>
                <c:ptCount val="10"/>
                <c:pt idx="0">
                  <c:v>Baseline</c:v>
                </c:pt>
                <c:pt idx="1">
                  <c:v>P800996 - PG-48B4</c:v>
                </c:pt>
                <c:pt idx="2">
                  <c:v>P704909 - XNC-00C0</c:v>
                </c:pt>
                <c:pt idx="3">
                  <c:v>Solved</c:v>
                </c:pt>
                <c:pt idx="4">
                  <c:v>P732021 - LAA-010B</c:v>
                </c:pt>
                <c:pt idx="5">
                  <c:v>P814396 - WH-3104</c:v>
                </c:pt>
                <c:pt idx="6">
                  <c:v>P817313 - not found</c:v>
                </c:pt>
                <c:pt idx="7">
                  <c:v>Planned</c:v>
                </c:pt>
                <c:pt idx="8">
                  <c:v>P817307 - RQ-B006</c:v>
                </c:pt>
                <c:pt idx="9">
                  <c:v>To be planned</c:v>
                </c:pt>
              </c:strCache>
            </c:strRef>
          </c:xVal>
          <c:yVal>
            <c:numRef>
              <c:f>'Waterfall EZ60'!$O$6:$O$30</c:f>
              <c:numCache>
                <c:formatCode>0.0</c:formatCode>
                <c:ptCount val="10"/>
                <c:pt idx="0">
                  <c:v>0</c:v>
                </c:pt>
                <c:pt idx="3">
                  <c:v>0</c:v>
                </c:pt>
                <c:pt idx="7">
                  <c:v>0</c:v>
                </c:pt>
                <c:pt idx="9">
                  <c:v>0</c:v>
                </c:pt>
              </c:numCache>
            </c:numRef>
          </c:yVal>
          <c:smooth val="0"/>
          <c:extLst>
            <c:ext xmlns:c16="http://schemas.microsoft.com/office/drawing/2014/chart" uri="{C3380CC4-5D6E-409C-BE32-E72D297353CC}">
              <c16:uniqueId val="{00000007-8586-47F4-975E-6BDB234C611F}"/>
            </c:ext>
          </c:extLst>
        </c:ser>
        <c:dLbls>
          <c:showLegendKey val="0"/>
          <c:showVal val="0"/>
          <c:showCatName val="0"/>
          <c:showSerName val="0"/>
          <c:showPercent val="0"/>
          <c:showBubbleSize val="0"/>
        </c:dLbls>
        <c:axId val="200399935"/>
        <c:axId val="200407495"/>
      </c:scatterChart>
      <c:catAx>
        <c:axId val="20039993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crossAx val="200407495"/>
        <c:crosses val="autoZero"/>
        <c:auto val="1"/>
        <c:lblAlgn val="ctr"/>
        <c:lblOffset val="100"/>
        <c:noMultiLvlLbl val="0"/>
      </c:catAx>
      <c:valAx>
        <c:axId val="200407495"/>
        <c:scaling>
          <c:orientation val="minMax"/>
          <c:max val="8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r>
                  <a:rPr lang="en-US" sz="1100"/>
                  <a:t>MTBF EZ60</a:t>
                </a:r>
              </a:p>
            </c:rich>
          </c:tx>
          <c:overlay val="0"/>
          <c:spPr>
            <a:noFill/>
            <a:ln>
              <a:noFill/>
            </a:ln>
            <a:effectLst/>
          </c:spPr>
          <c:txPr>
            <a:bodyPr rot="-54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399935"/>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_xlchart.v1.0</cx:f>
      </cx:strDim>
      <cx:numDim type="val">
        <cx:f>_xlchart.v1.1</cx:f>
      </cx:numDim>
    </cx:data>
  </cx:chartData>
  <cx:chart>
    <cx:title pos="t" align="ctr" overlay="0">
      <cx:tx>
        <cx:txData>
          <cx:v>Hitrate Waterfall (13wma) (WK34-46)</cx:v>
        </cx:txData>
      </cx:tx>
      <cx:txPr>
        <a:bodyPr spcFirstLastPara="1" vertOverflow="ellipsis" horzOverflow="overflow" wrap="square" lIns="0" tIns="0" rIns="0" bIns="0" anchor="ctr" anchorCtr="1"/>
        <a:lstStyle/>
        <a:p>
          <a:pPr algn="ctr" rtl="0">
            <a:defRPr/>
          </a:pPr>
          <a:r>
            <a:rPr lang="en-US" sz="1400" b="0" i="0" u="none" strike="noStrike" baseline="0">
              <a:solidFill>
                <a:sysClr val="windowText" lastClr="000000">
                  <a:lumMod val="65000"/>
                  <a:lumOff val="35000"/>
                </a:sysClr>
              </a:solidFill>
              <a:latin typeface="Calibri" panose="020F0502020204030204"/>
            </a:rPr>
            <a:t>Hitrate Waterfall (13wma) (WK34-46)</a:t>
          </a:r>
        </a:p>
      </cx:txPr>
    </cx:title>
    <cx:plotArea>
      <cx:plotAreaRegion>
        <cx:series layoutId="waterfall" uniqueId="{FC76F5F2-8AFE-4506-BF95-5EE7BBE5F118}">
          <cx:dataPt idx="1">
            <cx:spPr>
              <a:solidFill>
                <a:srgbClr val="E7E6E6">
                  <a:lumMod val="50000"/>
                </a:srgbClr>
              </a:solidFill>
            </cx:spPr>
          </cx:dataPt>
          <cx:dataPt idx="2">
            <cx:spPr>
              <a:solidFill>
                <a:srgbClr val="E7E6E6">
                  <a:lumMod val="50000"/>
                </a:srgbClr>
              </a:solidFill>
            </cx:spPr>
          </cx:dataPt>
          <cx:dataPt idx="3">
            <cx:spPr>
              <a:solidFill>
                <a:srgbClr val="4472C4"/>
              </a:solidFill>
            </cx:spPr>
          </cx:dataPt>
          <cx:dataPt idx="4">
            <cx:spPr>
              <a:solidFill>
                <a:srgbClr val="70AD47"/>
              </a:solidFill>
            </cx:spPr>
          </cx:dataPt>
          <cx:dataPt idx="5">
            <cx:spPr>
              <a:solidFill>
                <a:srgbClr val="70AD47">
                  <a:lumMod val="40000"/>
                  <a:lumOff val="60000"/>
                </a:srgbClr>
              </a:solidFill>
            </cx:spPr>
          </cx:dataPt>
          <cx:dataPt idx="6">
            <cx:spPr>
              <a:solidFill>
                <a:srgbClr val="4472C4"/>
              </a:solidFill>
            </cx:spPr>
          </cx:dataPt>
          <cx:dataPt idx="7">
            <cx:spPr>
              <a:solidFill>
                <a:srgbClr val="FFC000">
                  <a:lumMod val="60000"/>
                  <a:lumOff val="40000"/>
                </a:srgbClr>
              </a:solidFill>
            </cx:spPr>
          </cx:dataPt>
          <cx:dataPt idx="8">
            <cx:spPr>
              <a:solidFill>
                <a:srgbClr val="4472C4"/>
              </a:solidFill>
            </cx:spPr>
          </cx:dataPt>
          <cx:dataPt idx="9">
            <cx:spPr>
              <a:solidFill>
                <a:srgbClr val="FF0000"/>
              </a:solidFill>
            </cx:spPr>
          </cx:dataPt>
          <cx:dataLabels pos="outEnd">
            <cx:txPr>
              <a:bodyPr spcFirstLastPara="1" vertOverflow="ellipsis" horzOverflow="overflow" wrap="square" lIns="0" tIns="0" rIns="0" bIns="0" anchor="ctr" anchorCtr="1"/>
              <a:lstStyle/>
              <a:p>
                <a:pPr algn="ctr" rtl="0">
                  <a:defRPr sz="1600" b="1"/>
                </a:pPr>
                <a:endParaRPr lang="en-US" sz="1600" b="1" i="0" u="none" strike="noStrike" baseline="0">
                  <a:solidFill>
                    <a:sysClr val="windowText" lastClr="000000">
                      <a:lumMod val="65000"/>
                      <a:lumOff val="35000"/>
                    </a:sysClr>
                  </a:solidFill>
                  <a:latin typeface="Calibri" panose="020F0502020204030204"/>
                </a:endParaRPr>
              </a:p>
            </cx:txPr>
            <cx:visibility seriesName="0" categoryName="0" value="1"/>
          </cx:dataLabels>
          <cx:dataId val="0"/>
          <cx:layoutPr>
            <cx:visibility connectorLines="0"/>
            <cx:subtotals>
              <cx:idx val="3"/>
              <cx:idx val="6"/>
              <cx:idx val="8"/>
            </cx:subtotals>
          </cx:layoutPr>
        </cx:series>
      </cx:plotAreaRegion>
      <cx:axis id="0">
        <cx:catScaling gapWidth="0.5"/>
        <cx:title>
          <cx:tx>
            <cx:txData>
              <cx:v>Issue Status</cx:v>
            </cx:txData>
          </cx:tx>
          <cx:txPr>
            <a:bodyPr spcFirstLastPara="1" vertOverflow="ellipsis" horzOverflow="overflow" wrap="square" lIns="0" tIns="0" rIns="0" bIns="0" anchor="ctr" anchorCtr="1"/>
            <a:lstStyle/>
            <a:p>
              <a:pPr algn="ctr" rtl="0">
                <a:defRPr/>
              </a:pPr>
              <a:r>
                <a:rPr lang="en-US" sz="900" b="0" i="0" u="none" strike="noStrike" baseline="0">
                  <a:solidFill>
                    <a:sysClr val="windowText" lastClr="000000">
                      <a:lumMod val="65000"/>
                      <a:lumOff val="35000"/>
                    </a:sysClr>
                  </a:solidFill>
                  <a:latin typeface="Calibri" panose="020F0502020204030204"/>
                </a:rPr>
                <a:t>Issue Status</a:t>
              </a:r>
            </a:p>
          </cx:txPr>
        </cx:title>
        <cx:tickLabels/>
        <cx:txPr>
          <a:bodyPr vertOverflow="overflow" horzOverflow="overflow" wrap="square" lIns="0" tIns="0" rIns="0" bIns="0"/>
          <a:lstStyle/>
          <a:p>
            <a:pPr algn="ctr" rtl="0">
              <a:defRPr sz="1200" b="0"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a:p>
        </cx:txPr>
      </cx:axis>
      <cx:axis id="1">
        <cx:valScaling max="2.25"/>
        <cx:title>
          <cx:tx>
            <cx:txData>
              <cx:v>Hitrate (h/sys/wk)</cx:v>
            </cx:txData>
          </cx:tx>
          <cx:txPr>
            <a:bodyPr spcFirstLastPara="1" vertOverflow="ellipsis" horzOverflow="overflow" wrap="square" lIns="0" tIns="0" rIns="0" bIns="0" anchor="ctr" anchorCtr="1"/>
            <a:lstStyle/>
            <a:p>
              <a:pPr algn="ctr" rtl="0">
                <a:defRPr/>
              </a:pPr>
              <a:r>
                <a:rPr lang="en-US" sz="900" b="0" i="0" u="none" strike="noStrike" baseline="0">
                  <a:solidFill>
                    <a:sysClr val="windowText" lastClr="000000">
                      <a:lumMod val="65000"/>
                      <a:lumOff val="35000"/>
                    </a:sysClr>
                  </a:solidFill>
                  <a:latin typeface="Calibri" panose="020F0502020204030204"/>
                </a:rPr>
                <a:t>Hitrate (h/sys/wk)</a:t>
              </a:r>
            </a:p>
          </cx:txPr>
        </cx:title>
        <cx:tickLabels/>
        <cx:txPr>
          <a:bodyPr vertOverflow="overflow" horzOverflow="overflow" wrap="square" lIns="0" tIns="0" rIns="0" bIns="0"/>
          <a:lstStyle/>
          <a:p>
            <a:pPr algn="ctr" rtl="0">
              <a:defRPr sz="1200" b="0"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a:p>
        </cx:txPr>
      </cx:axis>
    </cx:plotArea>
  </cx:chart>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cat">
        <cx:f>_xlchart.v1.2</cx:f>
      </cx:strDim>
      <cx:numDim type="val">
        <cx:f>_xlchart.v1.3</cx:f>
      </cx:numDim>
    </cx:data>
  </cx:chartData>
  <cx:chart>
    <cx:title pos="t" align="ctr" overlay="0">
      <cx:tx>
        <cx:txData>
          <cx:v>MTBFu Waterfall</cx:v>
        </cx:txData>
      </cx:tx>
      <cx:txPr>
        <a:bodyPr spcFirstLastPara="1" vertOverflow="ellipsis" horzOverflow="overflow" wrap="square" lIns="0" tIns="0" rIns="0" bIns="0" anchor="ctr" anchorCtr="1"/>
        <a:lstStyle/>
        <a:p>
          <a:pPr algn="ctr" rtl="0">
            <a:defRPr/>
          </a:pPr>
          <a:r>
            <a:rPr lang="en-US" sz="1400" b="0" i="0" u="none" strike="noStrike" baseline="0">
              <a:solidFill>
                <a:sysClr val="windowText" lastClr="000000">
                  <a:lumMod val="65000"/>
                  <a:lumOff val="35000"/>
                </a:sysClr>
              </a:solidFill>
              <a:latin typeface="Calibri" panose="020F0502020204030204"/>
            </a:rPr>
            <a:t>MTBFu Waterfall</a:t>
          </a:r>
        </a:p>
      </cx:txPr>
    </cx:title>
    <cx:plotArea>
      <cx:plotAreaRegion>
        <cx:series layoutId="waterfall" uniqueId="{372D05D1-DC4E-4CD6-A69C-145EAAA9382D}">
          <cx:dataPt idx="1">
            <cx:spPr>
              <a:solidFill>
                <a:srgbClr val="A5A5A5"/>
              </a:solidFill>
            </cx:spPr>
          </cx:dataPt>
          <cx:dataPt idx="2">
            <cx:spPr>
              <a:solidFill>
                <a:sysClr val="window" lastClr="FFFFFF">
                  <a:lumMod val="65000"/>
                </a:sysClr>
              </a:solidFill>
            </cx:spPr>
          </cx:dataPt>
          <cx:dataPt idx="3">
            <cx:spPr>
              <a:solidFill>
                <a:srgbClr val="4472C4"/>
              </a:solidFill>
            </cx:spPr>
          </cx:dataPt>
          <cx:dataPt idx="4">
            <cx:spPr>
              <a:solidFill>
                <a:srgbClr val="70AD47">
                  <a:lumMod val="60000"/>
                  <a:lumOff val="40000"/>
                </a:srgbClr>
              </a:solidFill>
            </cx:spPr>
          </cx:dataPt>
          <cx:dataPt idx="5">
            <cx:spPr>
              <a:solidFill>
                <a:srgbClr val="70AD47">
                  <a:lumMod val="60000"/>
                  <a:lumOff val="40000"/>
                </a:srgbClr>
              </a:solidFill>
            </cx:spPr>
          </cx:dataPt>
          <cx:dataPt idx="6">
            <cx:spPr>
              <a:solidFill>
                <a:srgbClr val="70AD47">
                  <a:lumMod val="60000"/>
                  <a:lumOff val="40000"/>
                </a:srgbClr>
              </a:solidFill>
            </cx:spPr>
          </cx:dataPt>
          <cx:dataPt idx="7">
            <cx:spPr>
              <a:solidFill>
                <a:srgbClr val="70AD47">
                  <a:lumMod val="60000"/>
                  <a:lumOff val="40000"/>
                </a:srgbClr>
              </a:solidFill>
            </cx:spPr>
          </cx:dataPt>
          <cx:dataPt idx="8">
            <cx:spPr>
              <a:solidFill>
                <a:srgbClr val="70AD47">
                  <a:lumMod val="60000"/>
                  <a:lumOff val="40000"/>
                </a:srgbClr>
              </a:solidFill>
            </cx:spPr>
          </cx:dataPt>
          <cx:dataPt idx="9">
            <cx:spPr>
              <a:solidFill>
                <a:srgbClr val="70AD47">
                  <a:lumMod val="60000"/>
                  <a:lumOff val="40000"/>
                </a:srgbClr>
              </a:solidFill>
            </cx:spPr>
          </cx:dataPt>
          <cx:dataPt idx="10">
            <cx:spPr>
              <a:solidFill>
                <a:srgbClr val="4472C4"/>
              </a:solidFill>
            </cx:spPr>
          </cx:dataPt>
          <cx:dataPt idx="11">
            <cx:spPr>
              <a:solidFill>
                <a:srgbClr val="FFC000">
                  <a:lumMod val="60000"/>
                  <a:lumOff val="40000"/>
                </a:srgbClr>
              </a:solidFill>
            </cx:spPr>
          </cx:dataPt>
          <cx:dataPt idx="12">
            <cx:spPr>
              <a:solidFill>
                <a:srgbClr val="FFC000">
                  <a:lumMod val="60000"/>
                  <a:lumOff val="40000"/>
                </a:srgbClr>
              </a:solidFill>
            </cx:spPr>
          </cx:dataPt>
          <cx:dataPt idx="13">
            <cx:spPr>
              <a:solidFill>
                <a:srgbClr val="FFC000">
                  <a:lumMod val="60000"/>
                  <a:lumOff val="40000"/>
                </a:srgbClr>
              </a:solidFill>
            </cx:spPr>
          </cx:dataPt>
          <cx:dataPt idx="14">
            <cx:spPr>
              <a:solidFill>
                <a:srgbClr val="FFC000">
                  <a:lumMod val="60000"/>
                  <a:lumOff val="40000"/>
                </a:srgbClr>
              </a:solidFill>
            </cx:spPr>
          </cx:dataPt>
          <cx:dataPt idx="15">
            <cx:spPr>
              <a:solidFill>
                <a:srgbClr val="FF0000"/>
              </a:solidFill>
            </cx:spPr>
          </cx:dataPt>
          <cx:dataPt idx="16">
            <cx:spPr>
              <a:solidFill>
                <a:srgbClr val="FF0000"/>
              </a:solidFill>
            </cx:spPr>
          </cx:dataPt>
          <cx:dataPt idx="17">
            <cx:spPr>
              <a:solidFill>
                <a:srgbClr val="4472C4"/>
              </a:solidFill>
            </cx:spPr>
          </cx:dataPt>
          <cx:dataLabels pos="outEnd">
            <cx:txPr>
              <a:bodyPr vertOverflow="overflow" horzOverflow="overflow" wrap="square" lIns="0" tIns="0" rIns="0" bIns="0"/>
              <a:lstStyle/>
              <a:p>
                <a:pPr algn="ctr" rtl="0">
                  <a:defRPr sz="1200" b="1"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b="1"/>
              </a:p>
            </cx:txPr>
            <cx:visibility seriesName="0" categoryName="0" value="1"/>
          </cx:dataLabels>
          <cx:dataId val="0"/>
          <cx:layoutPr>
            <cx:visibility connectorLines="0"/>
            <cx:subtotals>
              <cx:idx val="3"/>
              <cx:idx val="10"/>
              <cx:idx val="17"/>
            </cx:subtotals>
          </cx:layoutPr>
        </cx:series>
      </cx:plotAreaRegion>
      <cx:axis id="0" hidden="1">
        <cx:catScaling gapWidth="0.5"/>
        <cx:tickLabels/>
      </cx:axis>
      <cx:axis id="1">
        <cx:valScaling/>
        <cx:tickLabels/>
        <cx:txPr>
          <a:bodyPr vertOverflow="overflow" horzOverflow="overflow" wrap="square" lIns="0" tIns="0" rIns="0" bIns="0"/>
          <a:lstStyle/>
          <a:p>
            <a:pPr algn="ctr" rtl="0">
              <a:defRPr sz="1200" b="0"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a:p>
        </cx:txPr>
      </cx:axis>
    </cx:plotArea>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3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1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microsoft.com/office/2014/relationships/chartEx" Target="../charts/chartEx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2" Type="http://schemas.openxmlformats.org/officeDocument/2006/relationships/chart" Target="../charts/chart7.xml"/><Relationship Id="rId1" Type="http://schemas.openxmlformats.org/officeDocument/2006/relationships/chart" Target="../charts/chart6.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chart" Target="../charts/chart9.xml"/></Relationships>
</file>

<file path=xl/drawings/_rels/drawing8.xml.rels><?xml version="1.0" encoding="UTF-8" standalone="yes"?>
<Relationships xmlns="http://schemas.openxmlformats.org/package/2006/relationships"><Relationship Id="rId3" Type="http://schemas.openxmlformats.org/officeDocument/2006/relationships/chart" Target="../charts/chart12.xml"/><Relationship Id="rId2" Type="http://schemas.openxmlformats.org/officeDocument/2006/relationships/chart" Target="../charts/chart11.xml"/><Relationship Id="rId1" Type="http://schemas.openxmlformats.org/officeDocument/2006/relationships/chart" Target="../charts/chart10.xml"/></Relationships>
</file>

<file path=xl/drawings/_rels/drawing9.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0.xml.rels><?xml version="1.0" encoding="UTF-8" standalone="yes"?>
<Relationships xmlns="http://schemas.openxmlformats.org/package/2006/relationships"><Relationship Id="rId1" Type="http://schemas.microsoft.com/office/2014/relationships/chartEx" Target="../charts/chartEx2.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3.xml.rels><?xml version="1.0" encoding="UTF-8" standalone="yes"?>
<Relationships xmlns="http://schemas.openxmlformats.org/package/2006/relationships"><Relationship Id="rId3" Type="http://schemas.openxmlformats.org/officeDocument/2006/relationships/chart" Target="../charts/chart18.xml"/><Relationship Id="rId2" Type="http://schemas.openxmlformats.org/officeDocument/2006/relationships/chart" Target="../charts/chart17.xml"/><Relationship Id="rId1" Type="http://schemas.openxmlformats.org/officeDocument/2006/relationships/chart" Target="../charts/chart16.xml"/><Relationship Id="rId4" Type="http://schemas.openxmlformats.org/officeDocument/2006/relationships/chart" Target="../charts/chart19.xml"/></Relationships>
</file>

<file path=xl/drawings/_rels/drawing16.xml.rels><?xml version="1.0" encoding="UTF-8" standalone="yes"?>
<Relationships xmlns="http://schemas.openxmlformats.org/package/2006/relationships"><Relationship Id="rId3" Type="http://schemas.openxmlformats.org/officeDocument/2006/relationships/chart" Target="../charts/chart22.xml"/><Relationship Id="rId2" Type="http://schemas.openxmlformats.org/officeDocument/2006/relationships/chart" Target="../charts/chart21.xml"/><Relationship Id="rId1" Type="http://schemas.openxmlformats.org/officeDocument/2006/relationships/chart" Target="../charts/chart20.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23.xml"/></Relationships>
</file>

<file path=xl/drawings/drawing1.xml><?xml version="1.0" encoding="utf-8"?>
<xdr:wsDr xmlns:xdr="http://schemas.openxmlformats.org/drawingml/2006/spreadsheetDrawing" xmlns:a="http://schemas.openxmlformats.org/drawingml/2006/main">
  <xdr:twoCellAnchor>
    <xdr:from>
      <xdr:col>2</xdr:col>
      <xdr:colOff>581025</xdr:colOff>
      <xdr:row>47</xdr:row>
      <xdr:rowOff>0</xdr:rowOff>
    </xdr:from>
    <xdr:to>
      <xdr:col>18</xdr:col>
      <xdr:colOff>523874</xdr:colOff>
      <xdr:row>67</xdr:row>
      <xdr:rowOff>85725</xdr:rowOff>
    </xdr:to>
    <mc:AlternateContent xmlns:mc="http://schemas.openxmlformats.org/markup-compatibility/2006">
      <mc:Choice xmlns:cx1="http://schemas.microsoft.com/office/drawing/2015/9/8/chartex" Requires="cx1">
        <xdr:graphicFrame macro="">
          <xdr:nvGraphicFramePr>
            <xdr:cNvPr id="3" name="Chart 1">
              <a:extLst>
                <a:ext uri="{FF2B5EF4-FFF2-40B4-BE49-F238E27FC236}">
                  <a16:creationId xmlns:a16="http://schemas.microsoft.com/office/drawing/2014/main" id="{DAC73F3B-191A-45C6-6D77-10C7E4C02D21}"/>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3295650" y="9448800"/>
              <a:ext cx="10696574" cy="3895725"/>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xdr:from>
      <xdr:col>17</xdr:col>
      <xdr:colOff>201975</xdr:colOff>
      <xdr:row>0</xdr:row>
      <xdr:rowOff>294700</xdr:rowOff>
    </xdr:from>
    <xdr:to>
      <xdr:col>29</xdr:col>
      <xdr:colOff>1147589</xdr:colOff>
      <xdr:row>5</xdr:row>
      <xdr:rowOff>1294482</xdr:rowOff>
    </xdr:to>
    <xdr:graphicFrame macro="">
      <xdr:nvGraphicFramePr>
        <xdr:cNvPr id="23" name="Chart 1">
          <a:extLst>
            <a:ext uri="{FF2B5EF4-FFF2-40B4-BE49-F238E27FC236}">
              <a16:creationId xmlns:a16="http://schemas.microsoft.com/office/drawing/2014/main" id="{DC950A83-43B9-4AEA-DAA9-A368085EDD2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9</xdr:col>
      <xdr:colOff>380999</xdr:colOff>
      <xdr:row>37</xdr:row>
      <xdr:rowOff>61911</xdr:rowOff>
    </xdr:from>
    <xdr:to>
      <xdr:col>23</xdr:col>
      <xdr:colOff>104774</xdr:colOff>
      <xdr:row>66</xdr:row>
      <xdr:rowOff>85724</xdr:rowOff>
    </xdr:to>
    <xdr:graphicFrame macro="">
      <xdr:nvGraphicFramePr>
        <xdr:cNvPr id="2" name="Chart 1">
          <a:extLst>
            <a:ext uri="{FF2B5EF4-FFF2-40B4-BE49-F238E27FC236}">
              <a16:creationId xmlns:a16="http://schemas.microsoft.com/office/drawing/2014/main" id="{427BAA52-03B8-9EF7-34BE-D4B8BA19768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516591</xdr:colOff>
      <xdr:row>1</xdr:row>
      <xdr:rowOff>5042</xdr:rowOff>
    </xdr:from>
    <xdr:to>
      <xdr:col>23</xdr:col>
      <xdr:colOff>430866</xdr:colOff>
      <xdr:row>32</xdr:row>
      <xdr:rowOff>14567</xdr:rowOff>
    </xdr:to>
    <xdr:graphicFrame macro="">
      <xdr:nvGraphicFramePr>
        <xdr:cNvPr id="6" name="Chart 1">
          <a:extLst>
            <a:ext uri="{FF2B5EF4-FFF2-40B4-BE49-F238E27FC236}">
              <a16:creationId xmlns:a16="http://schemas.microsoft.com/office/drawing/2014/main" id="{1DA120C3-32E7-41E3-AEDD-76B4357D171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76313</xdr:colOff>
      <xdr:row>92</xdr:row>
      <xdr:rowOff>160109</xdr:rowOff>
    </xdr:from>
    <xdr:to>
      <xdr:col>18</xdr:col>
      <xdr:colOff>266700</xdr:colOff>
      <xdr:row>109</xdr:row>
      <xdr:rowOff>95250</xdr:rowOff>
    </xdr:to>
    <xdr:graphicFrame macro="">
      <xdr:nvGraphicFramePr>
        <xdr:cNvPr id="17" name="Chart 2">
          <a:extLst>
            <a:ext uri="{FF2B5EF4-FFF2-40B4-BE49-F238E27FC236}">
              <a16:creationId xmlns:a16="http://schemas.microsoft.com/office/drawing/2014/main" id="{B20C2CD4-D589-6C97-4257-D742736465C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133672</xdr:colOff>
      <xdr:row>114</xdr:row>
      <xdr:rowOff>36622</xdr:rowOff>
    </xdr:from>
    <xdr:to>
      <xdr:col>11</xdr:col>
      <xdr:colOff>10388</xdr:colOff>
      <xdr:row>139</xdr:row>
      <xdr:rowOff>25887</xdr:rowOff>
    </xdr:to>
    <xdr:graphicFrame macro="">
      <xdr:nvGraphicFramePr>
        <xdr:cNvPr id="4" name="Chart 2">
          <a:extLst>
            <a:ext uri="{FF2B5EF4-FFF2-40B4-BE49-F238E27FC236}">
              <a16:creationId xmlns:a16="http://schemas.microsoft.com/office/drawing/2014/main" id="{EC6A6D8F-9C00-F229-C682-2EEE7CABE62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829236</xdr:colOff>
      <xdr:row>10</xdr:row>
      <xdr:rowOff>44824</xdr:rowOff>
    </xdr:from>
    <xdr:to>
      <xdr:col>24</xdr:col>
      <xdr:colOff>372276</xdr:colOff>
      <xdr:row>42</xdr:row>
      <xdr:rowOff>1120</xdr:rowOff>
    </xdr:to>
    <xdr:graphicFrame macro="">
      <xdr:nvGraphicFramePr>
        <xdr:cNvPr id="4" name="Chart 1">
          <a:extLst>
            <a:ext uri="{FF2B5EF4-FFF2-40B4-BE49-F238E27FC236}">
              <a16:creationId xmlns:a16="http://schemas.microsoft.com/office/drawing/2014/main" id="{F068483B-6D8F-2581-EDE7-1A74265C057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159882</xdr:colOff>
      <xdr:row>6</xdr:row>
      <xdr:rowOff>119062</xdr:rowOff>
    </xdr:from>
    <xdr:to>
      <xdr:col>19</xdr:col>
      <xdr:colOff>412975</xdr:colOff>
      <xdr:row>21</xdr:row>
      <xdr:rowOff>4762</xdr:rowOff>
    </xdr:to>
    <xdr:graphicFrame macro="">
      <xdr:nvGraphicFramePr>
        <xdr:cNvPr id="3" name="Chart 2">
          <a:extLst>
            <a:ext uri="{FF2B5EF4-FFF2-40B4-BE49-F238E27FC236}">
              <a16:creationId xmlns:a16="http://schemas.microsoft.com/office/drawing/2014/main" id="{F7031B4C-970A-1D0C-D34F-A99D3055BAF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890773</xdr:colOff>
      <xdr:row>38</xdr:row>
      <xdr:rowOff>140398</xdr:rowOff>
    </xdr:from>
    <xdr:to>
      <xdr:col>15</xdr:col>
      <xdr:colOff>435093</xdr:colOff>
      <xdr:row>92</xdr:row>
      <xdr:rowOff>120768</xdr:rowOff>
    </xdr:to>
    <xdr:graphicFrame macro="">
      <xdr:nvGraphicFramePr>
        <xdr:cNvPr id="2" name="Chart 1">
          <a:extLst>
            <a:ext uri="{FF2B5EF4-FFF2-40B4-BE49-F238E27FC236}">
              <a16:creationId xmlns:a16="http://schemas.microsoft.com/office/drawing/2014/main" id="{6F8C0C3F-9283-4FE4-A859-5B1F653BC53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2</xdr:col>
      <xdr:colOff>771525</xdr:colOff>
      <xdr:row>30</xdr:row>
      <xdr:rowOff>46983</xdr:rowOff>
    </xdr:from>
    <xdr:to>
      <xdr:col>8</xdr:col>
      <xdr:colOff>590550</xdr:colOff>
      <xdr:row>51</xdr:row>
      <xdr:rowOff>38314</xdr:rowOff>
    </xdr:to>
    <xdr:graphicFrame macro="">
      <xdr:nvGraphicFramePr>
        <xdr:cNvPr id="2" name="Chart 1">
          <a:extLst>
            <a:ext uri="{FF2B5EF4-FFF2-40B4-BE49-F238E27FC236}">
              <a16:creationId xmlns:a16="http://schemas.microsoft.com/office/drawing/2014/main" id="{B88C2F68-3375-45BC-A8A5-C265D76E74D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0</xdr:col>
      <xdr:colOff>493059</xdr:colOff>
      <xdr:row>35</xdr:row>
      <xdr:rowOff>36738</xdr:rowOff>
    </xdr:from>
    <xdr:to>
      <xdr:col>7</xdr:col>
      <xdr:colOff>144388</xdr:colOff>
      <xdr:row>56</xdr:row>
      <xdr:rowOff>21720</xdr:rowOff>
    </xdr:to>
    <xdr:graphicFrame macro="">
      <xdr:nvGraphicFramePr>
        <xdr:cNvPr id="2" name="Chart 1">
          <a:extLst>
            <a:ext uri="{FF2B5EF4-FFF2-40B4-BE49-F238E27FC236}">
              <a16:creationId xmlns:a16="http://schemas.microsoft.com/office/drawing/2014/main" id="{AF17B74E-C953-4DA2-912C-DE3644D56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12031</xdr:colOff>
      <xdr:row>34</xdr:row>
      <xdr:rowOff>149170</xdr:rowOff>
    </xdr:from>
    <xdr:to>
      <xdr:col>20</xdr:col>
      <xdr:colOff>493219</xdr:colOff>
      <xdr:row>55</xdr:row>
      <xdr:rowOff>144735</xdr:rowOff>
    </xdr:to>
    <xdr:graphicFrame macro="">
      <xdr:nvGraphicFramePr>
        <xdr:cNvPr id="4" name="Chart 1">
          <a:extLst>
            <a:ext uri="{FF2B5EF4-FFF2-40B4-BE49-F238E27FC236}">
              <a16:creationId xmlns:a16="http://schemas.microsoft.com/office/drawing/2014/main" id="{75225665-6BF8-A53B-F09A-5F3D6FFFE59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27</xdr:col>
      <xdr:colOff>587205</xdr:colOff>
      <xdr:row>38</xdr:row>
      <xdr:rowOff>71289</xdr:rowOff>
    </xdr:from>
    <xdr:to>
      <xdr:col>34</xdr:col>
      <xdr:colOff>128343</xdr:colOff>
      <xdr:row>59</xdr:row>
      <xdr:rowOff>56271</xdr:rowOff>
    </xdr:to>
    <xdr:graphicFrame macro="">
      <xdr:nvGraphicFramePr>
        <xdr:cNvPr id="6" name="Chart 2">
          <a:extLst>
            <a:ext uri="{FF2B5EF4-FFF2-40B4-BE49-F238E27FC236}">
              <a16:creationId xmlns:a16="http://schemas.microsoft.com/office/drawing/2014/main" id="{5A066AB1-42E2-75EB-3001-CFB8E711E5C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2</xdr:col>
      <xdr:colOff>771525</xdr:colOff>
      <xdr:row>30</xdr:row>
      <xdr:rowOff>46983</xdr:rowOff>
    </xdr:from>
    <xdr:to>
      <xdr:col>8</xdr:col>
      <xdr:colOff>590550</xdr:colOff>
      <xdr:row>51</xdr:row>
      <xdr:rowOff>38314</xdr:rowOff>
    </xdr:to>
    <xdr:graphicFrame macro="">
      <xdr:nvGraphicFramePr>
        <xdr:cNvPr id="5" name="Chart 1">
          <a:extLst>
            <a:ext uri="{FF2B5EF4-FFF2-40B4-BE49-F238E27FC236}">
              <a16:creationId xmlns:a16="http://schemas.microsoft.com/office/drawing/2014/main" id="{D7356836-54D9-8894-A760-DEC9F55CFD1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12</xdr:col>
      <xdr:colOff>404813</xdr:colOff>
      <xdr:row>2</xdr:row>
      <xdr:rowOff>71436</xdr:rowOff>
    </xdr:from>
    <xdr:to>
      <xdr:col>31</xdr:col>
      <xdr:colOff>47625</xdr:colOff>
      <xdr:row>29</xdr:row>
      <xdr:rowOff>180975</xdr:rowOff>
    </xdr:to>
    <mc:AlternateContent xmlns:mc="http://schemas.openxmlformats.org/markup-compatibility/2006">
      <mc:Choice xmlns:cx1="http://schemas.microsoft.com/office/drawing/2015/9/8/chartex" Requires="cx1">
        <xdr:graphicFrame macro="">
          <xdr:nvGraphicFramePr>
            <xdr:cNvPr id="3" name="Chart 1">
              <a:extLst>
                <a:ext uri="{FF2B5EF4-FFF2-40B4-BE49-F238E27FC236}">
                  <a16:creationId xmlns:a16="http://schemas.microsoft.com/office/drawing/2014/main" id="{682E4594-4939-B730-1984-E17E194E1449}"/>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12349163" y="452436"/>
              <a:ext cx="15568612" cy="5481639"/>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wsDr>
</file>

<file path=xl/drawings/drawing11.xml><?xml version="1.0" encoding="utf-8"?>
<xdr:wsDr xmlns:xdr="http://schemas.openxmlformats.org/drawingml/2006/spreadsheetDrawing" xmlns:a="http://schemas.openxmlformats.org/drawingml/2006/main">
  <xdr:twoCellAnchor>
    <xdr:from>
      <xdr:col>2</xdr:col>
      <xdr:colOff>771525</xdr:colOff>
      <xdr:row>30</xdr:row>
      <xdr:rowOff>46983</xdr:rowOff>
    </xdr:from>
    <xdr:to>
      <xdr:col>8</xdr:col>
      <xdr:colOff>590550</xdr:colOff>
      <xdr:row>51</xdr:row>
      <xdr:rowOff>38314</xdr:rowOff>
    </xdr:to>
    <xdr:graphicFrame macro="">
      <xdr:nvGraphicFramePr>
        <xdr:cNvPr id="2" name="Chart 1">
          <a:extLst>
            <a:ext uri="{FF2B5EF4-FFF2-40B4-BE49-F238E27FC236}">
              <a16:creationId xmlns:a16="http://schemas.microsoft.com/office/drawing/2014/main" id="{06935337-4F37-4013-B959-3DA6B9A6CD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142874</xdr:colOff>
      <xdr:row>29</xdr:row>
      <xdr:rowOff>66675</xdr:rowOff>
    </xdr:from>
    <xdr:to>
      <xdr:col>20</xdr:col>
      <xdr:colOff>609599</xdr:colOff>
      <xdr:row>50</xdr:row>
      <xdr:rowOff>54831</xdr:rowOff>
    </xdr:to>
    <xdr:graphicFrame macro="">
      <xdr:nvGraphicFramePr>
        <xdr:cNvPr id="2" name="Chart 1">
          <a:extLst>
            <a:ext uri="{FF2B5EF4-FFF2-40B4-BE49-F238E27FC236}">
              <a16:creationId xmlns:a16="http://schemas.microsoft.com/office/drawing/2014/main" id="{E8E3FE01-55F7-4D24-BC05-4DE10B1543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xdr:from>
      <xdr:col>27</xdr:col>
      <xdr:colOff>228599</xdr:colOff>
      <xdr:row>1</xdr:row>
      <xdr:rowOff>166687</xdr:rowOff>
    </xdr:from>
    <xdr:to>
      <xdr:col>42</xdr:col>
      <xdr:colOff>104775</xdr:colOff>
      <xdr:row>22</xdr:row>
      <xdr:rowOff>104775</xdr:rowOff>
    </xdr:to>
    <xdr:graphicFrame macro="">
      <xdr:nvGraphicFramePr>
        <xdr:cNvPr id="2" name="Chart 3">
          <a:extLst>
            <a:ext uri="{FF2B5EF4-FFF2-40B4-BE49-F238E27FC236}">
              <a16:creationId xmlns:a16="http://schemas.microsoft.com/office/drawing/2014/main" id="{0B00001B-4792-70F0-EECA-06030CCBE06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27</xdr:col>
      <xdr:colOff>314324</xdr:colOff>
      <xdr:row>22</xdr:row>
      <xdr:rowOff>185737</xdr:rowOff>
    </xdr:from>
    <xdr:to>
      <xdr:col>42</xdr:col>
      <xdr:colOff>190500</xdr:colOff>
      <xdr:row>43</xdr:row>
      <xdr:rowOff>123825</xdr:rowOff>
    </xdr:to>
    <xdr:graphicFrame macro="">
      <xdr:nvGraphicFramePr>
        <xdr:cNvPr id="3" name="Chart 4">
          <a:extLst>
            <a:ext uri="{FF2B5EF4-FFF2-40B4-BE49-F238E27FC236}">
              <a16:creationId xmlns:a16="http://schemas.microsoft.com/office/drawing/2014/main" id="{1E372AC4-7289-6047-1BBF-3FF1D409245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371475</xdr:colOff>
      <xdr:row>33</xdr:row>
      <xdr:rowOff>47624</xdr:rowOff>
    </xdr:from>
    <xdr:to>
      <xdr:col>19</xdr:col>
      <xdr:colOff>190500</xdr:colOff>
      <xdr:row>56</xdr:row>
      <xdr:rowOff>38099</xdr:rowOff>
    </xdr:to>
    <xdr:graphicFrame macro="">
      <xdr:nvGraphicFramePr>
        <xdr:cNvPr id="48" name="Chart 2">
          <a:extLst>
            <a:ext uri="{FF2B5EF4-FFF2-40B4-BE49-F238E27FC236}">
              <a16:creationId xmlns:a16="http://schemas.microsoft.com/office/drawing/2014/main" id="{C47022F7-FE2C-46CD-A120-A1B82F8B667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344261</xdr:colOff>
      <xdr:row>57</xdr:row>
      <xdr:rowOff>16328</xdr:rowOff>
    </xdr:from>
    <xdr:to>
      <xdr:col>19</xdr:col>
      <xdr:colOff>163286</xdr:colOff>
      <xdr:row>80</xdr:row>
      <xdr:rowOff>6803</xdr:rowOff>
    </xdr:to>
    <xdr:graphicFrame macro="">
      <xdr:nvGraphicFramePr>
        <xdr:cNvPr id="5" name="Chart 2">
          <a:extLst>
            <a:ext uri="{FF2B5EF4-FFF2-40B4-BE49-F238E27FC236}">
              <a16:creationId xmlns:a16="http://schemas.microsoft.com/office/drawing/2014/main" id="{D3F6ECA5-99CD-6DA6-0B85-667C8D7CAE7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14.xml><?xml version="1.0" encoding="utf-8"?>
<c:userShapes xmlns:c="http://schemas.openxmlformats.org/drawingml/2006/chart">
  <cdr:relSizeAnchor xmlns:cdr="http://schemas.openxmlformats.org/drawingml/2006/chartDrawing">
    <cdr:from>
      <cdr:x>0.01013</cdr:x>
      <cdr:y>0.38089</cdr:y>
    </cdr:from>
    <cdr:to>
      <cdr:x>0.05167</cdr:x>
      <cdr:y>0.44135</cdr:y>
    </cdr:to>
    <cdr:sp macro="" textlink="">
      <cdr:nvSpPr>
        <cdr:cNvPr id="2" name="Rectangle 1">
          <a:extLst xmlns:a="http://schemas.openxmlformats.org/drawingml/2006/main">
            <a:ext uri="{FF2B5EF4-FFF2-40B4-BE49-F238E27FC236}">
              <a16:creationId xmlns:a16="http://schemas.microsoft.com/office/drawing/2014/main" id="{6010D418-815A-AEF4-E42C-FC1CE2823AED}"/>
            </a:ext>
          </a:extLst>
        </cdr:cNvPr>
        <cdr:cNvSpPr/>
      </cdr:nvSpPr>
      <cdr:spPr>
        <a:xfrm xmlns:a="http://schemas.openxmlformats.org/drawingml/2006/main">
          <a:off x="95251" y="1500188"/>
          <a:ext cx="390525" cy="238125"/>
        </a:xfrm>
        <a:prstGeom xmlns:a="http://schemas.openxmlformats.org/drawingml/2006/main" prst="rect">
          <a:avLst/>
        </a:prstGeom>
        <a:noFill xmlns:a="http://schemas.openxmlformats.org/drawingml/2006/main"/>
        <a:ln xmlns:a="http://schemas.openxmlformats.org/drawingml/2006/main" w="31750">
          <a:solidFill>
            <a:srgbClr val="FF0000"/>
          </a:solid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endParaRPr lang="en-US"/>
        </a:p>
      </cdr:txBody>
    </cdr:sp>
  </cdr:relSizeAnchor>
  <cdr:relSizeAnchor xmlns:cdr="http://schemas.openxmlformats.org/drawingml/2006/chartDrawing">
    <cdr:from>
      <cdr:x>0.05167</cdr:x>
      <cdr:y>0.41112</cdr:y>
    </cdr:from>
    <cdr:to>
      <cdr:x>0.9848</cdr:x>
      <cdr:y>0.41233</cdr:y>
    </cdr:to>
    <cdr:cxnSp macro="">
      <cdr:nvCxnSpPr>
        <cdr:cNvPr id="4" name="Straight Connector 3">
          <a:extLst xmlns:a="http://schemas.openxmlformats.org/drawingml/2006/main">
            <a:ext uri="{FF2B5EF4-FFF2-40B4-BE49-F238E27FC236}">
              <a16:creationId xmlns:a16="http://schemas.microsoft.com/office/drawing/2014/main" id="{621C48E4-FCEB-581F-E70A-BD185A2E052D}"/>
            </a:ext>
          </a:extLst>
        </cdr:cNvPr>
        <cdr:cNvCxnSpPr>
          <a:stCxn xmlns:a="http://schemas.openxmlformats.org/drawingml/2006/main" id="2" idx="3"/>
        </cdr:cNvCxnSpPr>
      </cdr:nvCxnSpPr>
      <cdr:spPr>
        <a:xfrm xmlns:a="http://schemas.openxmlformats.org/drawingml/2006/main">
          <a:off x="485776" y="1619251"/>
          <a:ext cx="8772525" cy="4762"/>
        </a:xfrm>
        <a:prstGeom xmlns:a="http://schemas.openxmlformats.org/drawingml/2006/main" prst="line">
          <a:avLst/>
        </a:prstGeom>
        <a:ln xmlns:a="http://schemas.openxmlformats.org/drawingml/2006/main" w="28575">
          <a:solidFill>
            <a:srgbClr val="FF0000"/>
          </a:solidFill>
          <a:prstDash val="dash"/>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15.xml><?xml version="1.0" encoding="utf-8"?>
<c:userShapes xmlns:c="http://schemas.openxmlformats.org/drawingml/2006/chart">
  <cdr:relSizeAnchor xmlns:cdr="http://schemas.openxmlformats.org/drawingml/2006/chartDrawing">
    <cdr:from>
      <cdr:x>0.00946</cdr:x>
      <cdr:y>0.23297</cdr:y>
    </cdr:from>
    <cdr:to>
      <cdr:x>0.051</cdr:x>
      <cdr:y>0.29343</cdr:y>
    </cdr:to>
    <cdr:sp macro="" textlink="">
      <cdr:nvSpPr>
        <cdr:cNvPr id="2" name="Rectangle 1">
          <a:extLst xmlns:a="http://schemas.openxmlformats.org/drawingml/2006/main">
            <a:ext uri="{FF2B5EF4-FFF2-40B4-BE49-F238E27FC236}">
              <a16:creationId xmlns:a16="http://schemas.microsoft.com/office/drawing/2014/main" id="{6C9D94B9-B57B-9809-3550-47279B007A49}"/>
            </a:ext>
          </a:extLst>
        </cdr:cNvPr>
        <cdr:cNvSpPr/>
      </cdr:nvSpPr>
      <cdr:spPr>
        <a:xfrm xmlns:a="http://schemas.openxmlformats.org/drawingml/2006/main">
          <a:off x="88900" y="917575"/>
          <a:ext cx="390525" cy="238125"/>
        </a:xfrm>
        <a:prstGeom xmlns:a="http://schemas.openxmlformats.org/drawingml/2006/main" prst="rect">
          <a:avLst/>
        </a:prstGeom>
        <a:noFill xmlns:a="http://schemas.openxmlformats.org/drawingml/2006/main"/>
        <a:ln xmlns:a="http://schemas.openxmlformats.org/drawingml/2006/main" w="31750">
          <a:solidFill>
            <a:srgbClr val="FF0000"/>
          </a:solid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endParaRPr lang="en-US"/>
        </a:p>
      </cdr:txBody>
    </cdr:sp>
  </cdr:relSizeAnchor>
  <cdr:relSizeAnchor xmlns:cdr="http://schemas.openxmlformats.org/drawingml/2006/chartDrawing">
    <cdr:from>
      <cdr:x>0.051</cdr:x>
      <cdr:y>0.2632</cdr:y>
    </cdr:from>
    <cdr:to>
      <cdr:x>0.98413</cdr:x>
      <cdr:y>0.26441</cdr:y>
    </cdr:to>
    <cdr:cxnSp macro="">
      <cdr:nvCxnSpPr>
        <cdr:cNvPr id="3" name="Straight Connector 2">
          <a:extLst xmlns:a="http://schemas.openxmlformats.org/drawingml/2006/main">
            <a:ext uri="{FF2B5EF4-FFF2-40B4-BE49-F238E27FC236}">
              <a16:creationId xmlns:a16="http://schemas.microsoft.com/office/drawing/2014/main" id="{D1D53E7B-3465-40C8-F003-BFFB6B70217E}"/>
            </a:ext>
          </a:extLst>
        </cdr:cNvPr>
        <cdr:cNvCxnSpPr>
          <a:stCxn xmlns:a="http://schemas.openxmlformats.org/drawingml/2006/main" id="2" idx="3"/>
        </cdr:cNvCxnSpPr>
      </cdr:nvCxnSpPr>
      <cdr:spPr>
        <a:xfrm xmlns:a="http://schemas.openxmlformats.org/drawingml/2006/main">
          <a:off x="479425" y="1036638"/>
          <a:ext cx="8772525" cy="4762"/>
        </a:xfrm>
        <a:prstGeom xmlns:a="http://schemas.openxmlformats.org/drawingml/2006/main" prst="line">
          <a:avLst/>
        </a:prstGeom>
        <a:ln xmlns:a="http://schemas.openxmlformats.org/drawingml/2006/main" w="28575">
          <a:solidFill>
            <a:srgbClr val="FF0000"/>
          </a:solidFill>
          <a:prstDash val="dash"/>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16.xml><?xml version="1.0" encoding="utf-8"?>
<xdr:wsDr xmlns:xdr="http://schemas.openxmlformats.org/drawingml/2006/spreadsheetDrawing" xmlns:a="http://schemas.openxmlformats.org/drawingml/2006/main">
  <xdr:twoCellAnchor>
    <xdr:from>
      <xdr:col>14</xdr:col>
      <xdr:colOff>190500</xdr:colOff>
      <xdr:row>1</xdr:row>
      <xdr:rowOff>176211</xdr:rowOff>
    </xdr:from>
    <xdr:to>
      <xdr:col>25</xdr:col>
      <xdr:colOff>171449</xdr:colOff>
      <xdr:row>11</xdr:row>
      <xdr:rowOff>180974</xdr:rowOff>
    </xdr:to>
    <xdr:graphicFrame macro="">
      <xdr:nvGraphicFramePr>
        <xdr:cNvPr id="15" name="Chart 1">
          <a:extLst>
            <a:ext uri="{FF2B5EF4-FFF2-40B4-BE49-F238E27FC236}">
              <a16:creationId xmlns:a16="http://schemas.microsoft.com/office/drawing/2014/main" id="{B4D6F0DD-B94D-DFC9-A017-55BEB7B6FFE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190500</xdr:colOff>
      <xdr:row>12</xdr:row>
      <xdr:rowOff>52386</xdr:rowOff>
    </xdr:from>
    <xdr:to>
      <xdr:col>25</xdr:col>
      <xdr:colOff>171449</xdr:colOff>
      <xdr:row>22</xdr:row>
      <xdr:rowOff>57149</xdr:rowOff>
    </xdr:to>
    <xdr:graphicFrame macro="">
      <xdr:nvGraphicFramePr>
        <xdr:cNvPr id="34" name="Chart 2">
          <a:extLst>
            <a:ext uri="{FF2B5EF4-FFF2-40B4-BE49-F238E27FC236}">
              <a16:creationId xmlns:a16="http://schemas.microsoft.com/office/drawing/2014/main" id="{9C3495E4-0A93-0544-0D70-A0500828467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200025</xdr:colOff>
      <xdr:row>22</xdr:row>
      <xdr:rowOff>119061</xdr:rowOff>
    </xdr:from>
    <xdr:to>
      <xdr:col>25</xdr:col>
      <xdr:colOff>180974</xdr:colOff>
      <xdr:row>32</xdr:row>
      <xdr:rowOff>123824</xdr:rowOff>
    </xdr:to>
    <xdr:graphicFrame macro="">
      <xdr:nvGraphicFramePr>
        <xdr:cNvPr id="35" name="Chart 3">
          <a:extLst>
            <a:ext uri="{FF2B5EF4-FFF2-40B4-BE49-F238E27FC236}">
              <a16:creationId xmlns:a16="http://schemas.microsoft.com/office/drawing/2014/main" id="{54B521F0-F10D-00BD-C3DA-EE73E65FB29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9</xdr:col>
      <xdr:colOff>428626</xdr:colOff>
      <xdr:row>4</xdr:row>
      <xdr:rowOff>138111</xdr:rowOff>
    </xdr:from>
    <xdr:to>
      <xdr:col>21</xdr:col>
      <xdr:colOff>180975</xdr:colOff>
      <xdr:row>45</xdr:row>
      <xdr:rowOff>57150</xdr:rowOff>
    </xdr:to>
    <xdr:graphicFrame macro="">
      <xdr:nvGraphicFramePr>
        <xdr:cNvPr id="59" name="Chart 1">
          <a:extLst>
            <a:ext uri="{FF2B5EF4-FFF2-40B4-BE49-F238E27FC236}">
              <a16:creationId xmlns:a16="http://schemas.microsoft.com/office/drawing/2014/main" id="{FC96ECCB-FD41-2D60-F5D8-C9B02B6B364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Simon Malone" refreshedDate="45673.404462615741" createdVersion="8" refreshedVersion="8" minRefreshableVersion="3" recordCount="405" xr:uid="{6D651222-A00A-45B3-A987-95AECC78F10B}">
  <cacheSource type="worksheet">
    <worksheetSource ref="B37:I54" sheet="Error_Log"/>
  </cacheSource>
  <cacheFields count="27">
    <cacheField name="System" numFmtId="0">
      <sharedItems containsBlank="1"/>
    </cacheField>
    <cacheField name="Customer" numFmtId="0">
      <sharedItems containsBlank="1"/>
    </cacheField>
    <cacheField name="Root Error" numFmtId="0">
      <sharedItems containsBlank="1" count="148">
        <s v="N/A"/>
        <s v="DW-2602"/>
        <m/>
        <s v="DW-3425"/>
        <s v="KE-9101"/>
        <s v="WH-19F3"/>
        <s v="RU-0B00"/>
        <s v="RQ-B006"/>
        <s v="IS-1363"/>
        <s v="CN-00C0"/>
        <s v="LU-65E9"/>
        <s v="WH-3106"/>
        <s v="PG-48B4"/>
        <s v="WH-19FC"/>
        <s v="LO-1044"/>
        <s v="WX-802A"/>
        <s v="PDA-0026"/>
        <s v="LAB-002D"/>
        <s v="WH-3104"/>
        <s v="PX-2304"/>
        <s v="LAA-010B"/>
        <s v="DH-F061"/>
        <s v="WE-0406"/>
        <s v="WX-0415"/>
        <s v="RQ-330F"/>
        <s v="PG-6208"/>
        <s v="WX-180E"/>
        <s v="RU-028F"/>
        <s v="RH-8550"/>
        <s v="PX-97A6"/>
        <s v="WP-2C1D"/>
        <s v="KI-6202"/>
        <s v="WH-252E"/>
        <s v="ZS-1703"/>
        <s v="SN-150B"/>
        <s v="PG-6206"/>
        <s v="WT-1204"/>
        <s v="RU-093A"/>
        <s v="LZ-2028"/>
        <s v="DH-F001"/>
        <s v="DIT-A140"/>
        <s v="WP-6326"/>
        <s v="RH-98AE"/>
        <s v="CN-0001"/>
        <s v="DW-5A01"/>
        <s v="CN-00AF"/>
        <s v="IS-1366"/>
        <s v="BP-2801"/>
        <s v="LAW-1002"/>
        <s v="CV-22D2"/>
        <s v="WH-DB18"/>
        <s v="DN-0A13"/>
        <s v="MI-FED5"/>
        <s v="Lot GUI hangs"/>
        <s v="WD-2E0A"/>
        <s v="OO-000B"/>
        <s v="Track sync"/>
        <s v="UL-AF18"/>
        <s v="WH-4CAA"/>
        <s v="WX-8025"/>
        <s v="LU-00FA"/>
        <s v="RY-9802"/>
        <s v="DIS-06C2"/>
        <s v="WE-0405"/>
        <s v="DW-5C00"/>
        <s v="CN-00A5"/>
        <s v="BP-2A16"/>
        <s v="WZ-0D04"/>
        <s v="IS-136A"/>
        <s v="LZ-2021"/>
        <s v="KE-A003"/>
        <s v="MI-FD18"/>
        <s v="LSA-02B3"/>
        <s v="BP-2A27"/>
        <s v="DH-F091"/>
        <s v="SM-6003"/>
        <s v="DV-0036"/>
        <s v="ZB-2007"/>
        <s v="MG-2E0F"/>
        <s v="TEL"/>
        <s v="CO-0415"/>
        <s v="NM-2003"/>
        <s v="KI-6206"/>
        <s v="PDB-0037"/>
        <s v="CG-A004"/>
        <s v="LAB-003A"/>
        <s v="BP-3900"/>
        <s v="RU-0938"/>
        <s v="CN-0008"/>
        <s v="WX-2A15"/>
        <s v="OO-0005"/>
        <s v="DW-5C00 "/>
        <s v="PG-7406"/>
        <s v="SX-0203"/>
        <s v="LBB-2006"/>
        <s v="DN-0B25"/>
        <s v="DD-251E"/>
        <s v="FM-030D"/>
        <s v="PX-2823"/>
        <s v="LO-5501"/>
        <s v="CV-1E1A"/>
        <s v="DNM-0300"/>
        <s v="DN-1044"/>
        <s v="DV-002C"/>
        <s v="LO-841E"/>
        <s v="WE-0404"/>
        <s v="CV-2016"/>
        <s v="RY-9077"/>
        <s v="PG-73E6"/>
        <s v="KG-0205"/>
        <s v="SM-8100"/>
        <s v="RU-035B"/>
        <s v="RQ-1F01"/>
        <s v="MEP-010D"/>
        <s v="CV-125E"/>
        <s v="XNC-00C0"/>
        <s v="PX-0A14"/>
        <s v="CG-AB97"/>
        <s v="UL-A80B"/>
        <s v="WD-3A11"/>
        <s v="WP-5805"/>
        <s v="SF-4305"/>
        <s v="CG-4684"/>
        <s v="DH-F081"/>
        <s v="RH-988F"/>
        <s v="CV-1F24"/>
        <s v="WL-0028"/>
        <s v="RH-988E"/>
        <s v="RU-0B76"/>
        <s v="CV-22C1"/>
        <s v="PL-7004"/>
        <s v="WZ-060A"/>
        <s v="MI-FE15"/>
        <s v="WP-2C1D​" u="1"/>
        <s v="BP-2A36" u="1"/>
        <s v="CF-0E02" u="1"/>
        <s v="PDD-003E" u="1"/>
        <s v="WX-4CAA" u="1"/>
        <s v="AS-070A" u="1"/>
        <s v="WX-2811" u="1"/>
        <s v="LO-8427" u="1"/>
        <s v="CG-4656" u="1"/>
        <s v="TEL-0201" u="1"/>
        <s v="KE-7902" u="1"/>
        <s v="XCN-0001" u="1"/>
        <s v="VS-0142" u="1"/>
        <s v="WL-002B" u="1"/>
        <s v="WH-DB36" u="1"/>
      </sharedItems>
    </cacheField>
    <cacheField name="Week Number" numFmtId="0">
      <sharedItems containsString="0" containsBlank="1" containsNumber="1" containsInteger="1" minValue="1" maxValue="52"/>
    </cacheField>
    <cacheField name="Year-Week Number" numFmtId="0">
      <sharedItems containsBlank="1" containsMixedTypes="1" containsNumber="1" containsInteger="1" minValue="2430" maxValue="2503"/>
    </cacheField>
    <cacheField name="Date" numFmtId="168">
      <sharedItems containsNonDate="0" containsDate="1" containsString="0" containsBlank="1" minDate="2024-07-27T00:00:00" maxDate="2025-01-16T00:00:00"/>
    </cacheField>
    <cacheField name="SDT Timestamp" numFmtId="0">
      <sharedItems containsDate="1" containsBlank="1" containsMixedTypes="1" minDate="1899-12-30T00:01:53" maxDate="1899-12-30T23:59:00"/>
    </cacheField>
    <cacheField name="Reconciled Timestamp" numFmtId="0">
      <sharedItems containsDate="1" containsBlank="1" containsMixedTypes="1" minDate="1899-12-30T00:01:55" maxDate="1899-12-30T23:58:00"/>
    </cacheField>
    <cacheField name="Description" numFmtId="0">
      <sharedItems containsBlank="1" count="348">
        <s v="Low success rate of NoMoLa"/>
        <s v="EPPQ DY NOK"/>
        <s v="LULU failed on DW-2602"/>
        <s v="CU_OT_Track_setting_disable"/>
        <s v="Overdose during die repair"/>
        <s v="KE-9101 wafer reject diagnostics"/>
        <s v="WH-19F3 – Track issue (20:00 ~ 22:00)(To be reconciled)"/>
        <s v="CU_OT_both chuck FP seen at 6 o'clock​"/>
        <s v="RU-0B00 IVR MMDC emergency occurred"/>
        <s v="Lot abort (RQ-B006)​"/>
        <s v="Initial driver failed by RU-0B00"/>
        <s v="Lot aborted with IS-1363"/>
        <s v="Several wafer reject occured during KE-9101"/>
        <s v="Lot abort by CN-00C0 time out (RPMA)​"/>
        <s v="CU_OT_Mx LUEP ATP-1 failed with LU-65E9"/>
        <s v="Autorecovery by WH-3106, state transition is not allowed"/>
        <s v="CU_OT_Lot aborted with PG-48B4"/>
        <s v="RPAS timeout"/>
        <s v="WH-19FC &amp; WH-3104 after lot start"/>
        <s v="LO-1044 / The lot is aborted by user / Restart system with no inform"/>
        <s v="Wafer wont unload to track"/>
        <s v="PDA-026 SLRS cold failure"/>
        <s v="LAB-002D / HPDL PLC sensor reported an error / Restart system with no inform"/>
        <s v="WH-3104 / Invalid Wafer ID provided / Restart system with no inform"/>
        <s v="PX-2304 / General Software error: Timeout occurred / Restart system with no inform"/>
        <s v="H2 shutoff LEL hardware error"/>
        <s v="MX action failed on intermedaite shutter"/>
        <s v="WH_HIPA_SUR Error"/>
        <s v="SUR Z brake communication problem /P/C WH Rack and Driver initial"/>
        <s v="Wafer withdrawn NOK"/>
        <s v="Mx Action Fail - IS issue"/>
        <s v="RQRRSM sends wrong scan ID"/>
        <s v="PX AVIS Steady State Error"/>
        <s v="AR by PG-6208 complaining PX AVIS steady state error"/>
        <s v="WH ADT Hang up"/>
        <s v="Lot aborted due to RU-028F"/>
        <s v="Autorecovery NOK"/>
        <s v="SUR HIPA Error"/>
        <s v="PGWK SW Process Error / initial PXMTAP"/>
        <s v="Ghots reticle"/>
        <s v="PXMTBP HW Error "/>
        <s v="WSCB Charging or Internal Error"/>
        <s v="SCN Hang-up (Input wafer from CH Timeout"/>
        <s v="SUR Z Moved not allowed"/>
        <s v="Mx Action Fail - MS Issue"/>
        <s v="WS-PADC5 Fail"/>
        <s v="AbCom Measurement NOK"/>
        <s v="Track communication issue during post recovery of LCW Too low flow issue"/>
        <s v="LCW Too low flow"/>
        <s v="LUEP Failed "/>
        <s v="LZ DR Timeout isse"/>
        <s v="Unload wafer timeout issue"/>
        <s v="WH_SUR_HIPA Error"/>
        <s v="EP1 CtrlZ Fatal Error"/>
        <s v="Mx Action Fail IS Issue"/>
        <s v="EMWC Failed"/>
        <s v="KJDR Closed connection due to read timeout"/>
        <s v="RH LDLK1 Compouned Gauge Absolute reading not within expected safe range"/>
        <s v="LZ-201A_Too_Many_Samples"/>
        <s v="Restart Failed for WX-802A"/>
        <s v="Mx Action Failed IS Error"/>
        <s v="Utility power loss"/>
        <s v="AILR Failure"/>
        <s v="WP-2C1D with WSR Temp Control"/>
        <s v="LZ_RD Comm Issue"/>
        <s v="Lot operation window hang-up"/>
        <s v="SLRS_Warmup Failed / Invalid RBD Signal"/>
        <s v="Wafer timeout issue - Combined together with WP-6326"/>
        <s v="Wafer loss on CH1 after WH-19F3 issue"/>
        <s v="RH Operation Failed NOK"/>
        <s v="Wafer cannot move to track "/>
        <s v="Autorecovery OK, but rejected wafer #1 stuck on SUR.​ "/>
        <s v="Wafer cannot move to track"/>
        <s v="Mx Action Fail MS Issue"/>
        <s v="DGA Droplet Unstable"/>
        <s v="WH HIPA SUR ERROR"/>
        <s v="MLET failed due to CN-00AF (KGHDMI task died)"/>
        <s v="ISLA Task Dead"/>
        <s v="WSR Actuator Y Error"/>
        <s v="Withdrawing wafer is abnormal"/>
        <s v="Invalid Energy Profile provided"/>
        <s v="DL Error in RFG2 of PA2"/>
        <s v="RF22 can ID10 in error state"/>
        <s v="Autorecovery failed due to WP-2C1D"/>
        <s v="Twinscan Main Window Stuck"/>
        <s v="TSEL Error randomly in WSPC3"/>
        <s v="CH Interlock issue (re-adjusted)"/>
        <s v="Error due to lot recovery failure"/>
        <s v="BMWL fails for MI error"/>
        <s v="Fatal Error in steering droplets, causing depressurized"/>
        <s v="KEETMI Task Died Lot Abort "/>
        <s v="Auto recovery message stuck on screen."/>
        <s v="QMSX lost communication"/>
        <s v="WH Timeout Error"/>
        <s v="Laser Died with Bilz Error"/>
        <s v="Mx Action Fail, IS Issue"/>
        <s v="During NoMoLa, fails "/>
        <s v="Mx Action Fail - MS"/>
        <s v="PXRD-PG Task died"/>
        <s v="WSL LCW to low flow"/>
        <s v="KGHDMI Task died unexpectedly"/>
        <s v="Lot input shifted to next lot"/>
        <s v="DL IS Issue"/>
        <s v="POB MPH disable during lot"/>
        <s v="336 Mirror not ready"/>
        <s v="Wafer COWA Failed"/>
        <s v="MX Action Fail (IS Shutter)"/>
        <s v="Track Door closed unexpectdly"/>
        <s v="Lot queue stopped due to WX-8025 (Manuel OCAP R1 Partition Test Failed)"/>
        <s v="Wafer Unload Error"/>
        <s v="Short LULU Failed"/>
        <s v=" Hypothesis root cause is RH-988E (OVR unable to place EIP to LDPT, calibration required)"/>
        <s v="DGA Depressurized PR-PRS1 Value Drop"/>
        <s v="Mxaction  failed with LAA-010B​ (IS opened fail issue)"/>
        <s v="SRC Mx NoK for IS Shutter error​"/>
        <s v="Full init failed with WE-0405"/>
        <s v="Autorecovery failed in DW-5C00"/>
        <s v="MX Action Fail - IS Shutter"/>
        <s v="MI-FD18 - SPM Commuincation"/>
        <s v="LUEP Disable Integrated"/>
        <s v="MX Action NOK (MS Issue)"/>
        <s v="MI Fails during production"/>
        <s v="PI_DF_PWP OoS"/>
        <s v="DN Error during post MI recovery"/>
        <s v="Driver laser error in RFG2 of PA2."/>
        <s v="PWP Failed due to wafer misaligned"/>
        <s v="MX Action Fails - IS NoK"/>
        <s v="Lot abort and autorecovery by BP-2A16"/>
        <s v="XWWA failed due to PQ-7406"/>
        <s v="VSAP/VSDI driver loss communication"/>
        <s v="Wafer Stuck"/>
        <s v="System failed to start lot (MI Error - SPM Communication)"/>
        <s v="Autorecovery by IS-136A"/>
        <s v="Initialize VS Driver NOK"/>
        <s v=" IS shutter error during Mx actions​ (IS opened fail issue)"/>
        <s v="Autorecovery by CN-00A5(VSAP/VSDI)"/>
        <s v="CHK2 Wafer table contamination"/>
        <s v="RH LL timeout happened during opening/closing valve"/>
        <s v="Driver PX_MIRROR_HEATING is BUSY and therefore not capable of running production (possibly not initialised)."/>
        <s v=" A broken reticle stage pellicle error has been detected"/>
        <s v="WH HIPA MMDC Error"/>
        <s v="BMWL MI Error"/>
        <s v="Auto-recovery by RQ-B006, RS MMDC - RS_MPAC (External Amplifier Error)"/>
        <s v="WH_time_out_by_WH-19F3"/>
        <s v="Mx Action Failed due to LAA-010B (MS Closed Failed)"/>
        <s v="EPPQ Failed"/>
        <s v="After Source Warmup, the result flag returned by the EUV source is invalid (0)_x000a_Returned Result flag: 0"/>
        <s v="WDSH Fails on WD-2E0A"/>
        <s v="SCN Hang-up by CN-00A5, DYIMPR Task died"/>
        <s v="POB Communication Issue"/>
        <s v="LC reboot failed "/>
        <s v="Patch backout of AT_7.4.1.b_903616b failed at Backout Transaction during SP37 upgrade"/>
        <s v="CU_OT_MLET failed due to CN-00AF (KGHDMIS died unexpectedly)"/>
        <s v="Auto recovery tripped by IS-136A"/>
        <s v="MHWHEU died_wafer_handler "/>
        <s v="CU_OT_Autorecovery RQ-B006_internal amp"/>
        <s v="CU_OT_recovery failed with DV-0036_SAPA"/>
        <s v="WDSH Fail on WD-2E0A"/>
        <s v="Number of rejected pixels is above error level (PZEU MC Corruption)"/>
        <s v="Unload Wafer timed out"/>
        <s v="Illumination Fails to Init"/>
        <s v="TEL reporting wafer shift 25-50mm"/>
        <s v="MPH did not start up"/>
        <s v="MX Action Failed and cannot init P/C EILR reset il/il2"/>
        <s v="Lot aborted by WH-3104"/>
        <s v="LULU failed by LU-00FA"/>
        <s v="Auto recovery tripped by KI-6206"/>
        <s v="PDD Software Error"/>
        <s v="During Autorecovery SRC Xint OoS (SRC State transition Fail)"/>
        <s v="Run HREUCC suffered CN-00A5 (RUBIAPP) and task died"/>
        <s v="DWME Linked error DW-5C00 "/>
        <s v="Main Shutter not allowed to be closed because HPAC ignited"/>
        <s v="Lot Ops unable to start (PG-6208 PX AVS error)"/>
        <s v="LAA-010B IS shutter error during Mx actions​"/>
        <s v="WX-802A wafer unload timeout error occurred (Track doesn't pick-up the wafer)"/>
        <s v="SU_OT_EPPQ failed at MOPP with PDB-0037"/>
        <s v="SU_OT_WDSM fail with LAA-010B_MS failed"/>
        <s v="CU_OT_Lot operation window hang up​"/>
        <s v="WSPC2_MPAC4_PLL report​"/>
        <s v="Mx Action Failed - All PAs are high voltage enabled fail​"/>
        <s v="WDSH failed on WD-2E0A "/>
        <s v="WSR LCW heater enable while too low LCW flow​"/>
        <s v="Incomplete Prime from TPT to TRT, with TPT_TLS &gt;&gt;10 mm"/>
        <s v="ET18 SRC state transition fails by BP-2A36"/>
        <s v="MXC Maintenance is not allowed because prepare for M-Action failed"/>
        <s v="EtherCat module (EP3204, =CT+CH.EP4.1-K8) complain CH2 sensor detected under range signal​"/>
        <s v="Intermediate Shutter is opened failed during transition"/>
        <s v="RU-0938 Recovery Error | RH Port Guard Sensor"/>
        <s v="CU_OT_WZCH_KCM_CTRL_Y_CHKERROR_PG-6206"/>
        <s v="Timeout for WAFHND"/>
        <s v=" WSL LCW Low Flow​"/>
        <s v="CU_OT_monitor sensor and tilt Mx failed"/>
        <s v="Ctrl block group for &quot;horizontal&quot; moves not enabled (During NoMoLa)"/>
        <s v="EMCAMI failed on OO-0005 during “prepare machine” step"/>
        <s v=" CU_OT_mlet stucked after autorecovery ok​"/>
        <s v="PWPENE_failed_by_WP-2C1D"/>
        <s v="LL1 Partition Test Defectivity Issue"/>
        <s v="MX Action Failed (MS Issue)"/>
        <s v="EtherCat module complain CH2 sensor detected under range signal"/>
        <s v="Wafers not moving to track"/>
        <s v="Track not communicating"/>
        <s v="CU_OT_LHM_Wafer Unload Timeout"/>
        <s v="HGIR Shows red light (Customer track interface disabled after restart)"/>
        <s v="CU_OT_WZCH_LIFTZ_Ctrl_Z_ChkError "/>
        <s v="SRC Mx action fails"/>
        <s v="FFA_FU_PRS1 failure​"/>
        <s v="EtherCat module complain CH2 sensor detected under range signal​"/>
        <s v="Driver Laser Detected in PA2"/>
        <s v="CU_OT CH Error PG-6206 (AUR Ctrl Error)"/>
        <s v="Abnormal FP on C2 BSL"/>
        <s v="The AbCom measurement quality was too low"/>
        <s v="CU_OT_XWVPOP_Test results_out of limit​"/>
        <s v="CU_OT_XWLLPT test not on run test window"/>
        <s v="Capacity too low for traces in Data Trace set Mirror Unflatness Measuring Facility"/>
        <s v="Request of a wafer timed out"/>
        <s v="Error tripped during running LOT with single chuck. Wafer Flow Timeout"/>
        <s v="DCO Failed by WX-802A"/>
        <s v="CGMA driver lost communication"/>
        <s v="CU_OT_cannot raise VWH-AWH interface​"/>
        <s v="ZWAVLZ NOK for VWH Foot Adjustment"/>
        <s v="CU_OT_Lot prep failed due to DD-251E​"/>
        <s v="Wafer path contamination"/>
        <s v="Dowel Pins too long"/>
        <s v="Cabling issues LD2/LD3 deltas"/>
        <s v="DL - HPDL SW v04.03.00 NOK"/>
        <s v="SU_OT_maction failed with LAA-010B - Main shutter issue"/>
        <s v="CU_OT_Autorecovery failed with WP-2C1D​"/>
        <s v="Unable to float old VWH"/>
        <s v="DCO_NOK on 6 par"/>
        <s v="CU_OT_WX-802A_Unload timeout"/>
        <s v="MO_KP_mini_HRG_illias_counter"/>
        <s v="CU_OT_full init failed with FM-030D"/>
        <s v="_x0009_CU_OT_WH NOK_due to Track issue_CN-0001"/>
        <s v="large drift observed at LoCo TIS _ ILIAS"/>
        <s v="EQRCLB Failed"/>
        <s v="FOCEMI Failed by WH-3106"/>
        <s v="CFRI Stage NOK"/>
        <s v="CU_OT_WH-4CAA Track door closed unexpected"/>
        <s v="RS Slider Lock3 NOK"/>
        <s v="WH-4CAA Track door closed unexpectedly"/>
        <s v="TWINSCAN can't open"/>
        <s v="Adder observed on reticle during HREUCC/SQ"/>
        <s v="SRC depressurized after system restart"/>
        <s v="CU_OT_Failed at Set Track Status Online"/>
        <s v="Invalid state detected for WH_SLR_ESC_LEFT_P_IMP."/>
        <s v="CU_OT_AWH_CH_Interlock trip by customer"/>
        <s v="TSMC EBARA Pump EMO cause lose H2"/>
        <s v="Unable to run lots while decoupled"/>
        <s v="Track door handle unable to full open"/>
        <s v="U_OT_WH_SUR_SEC_LEFT_P_IMP DV-002C​"/>
        <s v="CU_OT_Error reading for WS_S2LB CV-2016"/>
        <s v="_x0009_IVR Error during check if RED move allow"/>
        <s v="CU_OT_Autorecovery failed with WP-2C1D"/>
        <s v="MLET failed with DN-0B25​"/>
        <s v="WP-2C1D Init Failed"/>
        <s v="CU_OT full start up failed with PG-73E6"/>
        <s v="CU_OT_INCORRECT SLCF UPDATE_"/>
        <s v="CU_OT OIU hang up"/>
        <s v="CU_OT_full init failed_DV-002C_WH SIOB"/>
        <s v="Projection mirror heating' driver changed to 'partially initilaized' from 'initialized"/>
        <s v="Driver initial failed by RU-035B / RU-0771"/>
        <s v="CU_OT_Autorecovery failed with PG-6208"/>
        <s v="CU_OT_WP-2C1D_WSPC2_MPAC4_PLL report "/>
        <s v="CU_OT_Lot opereration window hang up"/>
        <s v=" CU_OT_SS2MF_RQ-1F01​"/>
        <s v="CU_OT_CH2CH_Collision WP-2C1D"/>
        <s v="ONEGUI laser driver died with TEL-0201 &amp; HSD-120E​"/>
        <s v="Full init failed with CV-125E"/>
        <s v="Lot aborted due to IS-1363"/>
        <s v="MSC Frozen"/>
        <s v="Lot abort with DW-5C00"/>
        <s v="LAA-010B - HPAC Shutter"/>
        <s v="TC2BF_Z2 TC2BF_ACC_CM_VOLT_TOO_HIGH_ERROR"/>
        <s v="Tool Down for PWP continuing to increase"/>
        <s v="During inline WTC, PG-6206 WPxLoS1:Ctrl.Z tripped"/>
        <s v="RS MMDC PG-4990 PSG_wait_condition:RQxESCOUT/RQ-B006 MPAC LS XY MOT3"/>
        <s v="VWH Error | WE-0406 | HIPA Failure"/>
        <s v="Lot abort CN-0008 WH CARM timeout"/>
        <s v="Mx NoK XCN-0001 (TFM task timeout)"/>
        <s v="CN-0001 ISLA timeout"/>
        <s v="Error while idle WP-2C1D"/>
        <s v="WH-3106 Lot Abort"/>
        <s v="PG-48B4 Lot Abort"/>
        <s v="KI-6206 &quot;Abcom measurement quatily to low&quot;"/>
        <s v="RQ-B006 &quot;Peak actuator to high&quot;"/>
        <s v="Lot abort rejecting wafers | PX Drivers"/>
        <s v="WP-2C1D WT LCW Overpressure​"/>
        <s v="WP-2C1D Link Transmission Error"/>
        <s v="BG Valve Issue"/>
        <s v="POB Initialization Error"/>
        <s v="Unicom Timeout Issue"/>
        <s v="LZ Level Sensor Common Server Error"/>
        <s v="WDFC Mx Action Unable to Run"/>
        <s v="WPPD Driver Fail | WP-5805 | WP Driver"/>
        <s v="WSL ESC_MB Voltage Tracking Error"/>
        <s v="HWAVWA ADT to XWWA CPD"/>
        <s v="False Pellicle Rupture"/>
        <s v="Invalid Wafer ID"/>
        <s v="Lot abort | WP-5805 | WP Driver"/>
        <s v="Unable to map SIOB"/>
        <s v="Lot abort | SF-4305 | SF driver"/>
        <s v="MCH Not booting up "/>
        <s v="MPAC Comms. RH Interlock Issue"/>
        <s v="H2 Lost"/>
        <s v="SW Hiccup"/>
        <s v="BMWL OoS (Intel Spec)"/>
        <s v="Reticle Fails to unload pod LDPT error"/>
        <s v="BMWL Failure due to being left in ASML Settings"/>
        <s v="Closing wafer lost during RH recovery"/>
        <s v="H2 lost during RH recovery"/>
        <s v="Customer loaded Gudeng EIP (customer operational mistake)"/>
        <s v="Laser Amplification state transition failed"/>
        <s v="Wafers failing to dispose to track"/>
        <s v="Cover was partially blocking port guard sensor​"/>
        <s v="Number of fieldpoints with reliable result is below the allowed minimum threshold. Quality of AbCoM scan results not accepted."/>
        <s v="AWH CH Stuck Up "/>
        <s v="WE MMDC error: BOARD_FUNCTIONS: WH_MPAC: &lt;none&gt;"/>
        <s v="During recovery from AWH/VWH/WS SiSo, unable to get a successful init of WS racks"/>
        <s v="NOK PWP "/>
        <s v="WD-2E0A Error after WDSH"/>
        <s v="AWH + WS INTLK Failure"/>
        <s v="Customer reports LDPT1 not accessable"/>
        <s v="WT Mx Charge Removal Warning"/>
        <s v="SIER Test Out of Limits"/>
        <s v="MLETs error | SM-8100 | SW hiccup"/>
        <s v="OVR to PLB NOK with BM-TIS"/>
        <s v="WH Lost wafer"/>
        <s v="Twinscan Reboot Hiccup | MI-FE15 | SW hiccup"/>
        <s v="Mx HOWS fails for WP-2C1D"/>
        <m/>
        <s v="HPDL PLC Sensor reported an error" u="1"/>
        <s v="RH Operation Failed " u="1"/>
        <s v="Wafer timeout issue" u="1"/>
        <s v="MX Action Failed Shutter" u="1"/>
        <s v="MX Action NOK" u="1"/>
        <s v="Task Died Lot Abort " u="1"/>
        <s v="System failed to start lot" u="1"/>
        <s v="LL condition error FWDDV2​" u="1"/>
        <s v="CU_OT_MLET failed due to CN-00AF" u="1"/>
        <s v="Wafer clear hang up" u="1"/>
        <s v="SCN hang up (start queue when system not ready for production)" u="1"/>
        <s v="During Autorecovery SRC Xint OoS" u="1"/>
        <s v="MX Action Failed" u="1"/>
        <s v="SU_OT_maction failed with LAA-010B" u="1"/>
        <s v="CU_OT_WP-2C1D_WSPL2_MPAC4_PLL report " u="1"/>
        <s v="HGIR Shows red light " u="1"/>
        <s v="MX Action failed due to SRC set to off-droplet" u="1"/>
        <s v="Error tripped during running LOT with single chuck." u="1"/>
      </sharedItems>
    </cacheField>
    <cacheField name="Duration" numFmtId="0">
      <sharedItems containsString="0" containsBlank="1" containsNumber="1" minValue="0.03" maxValue="166.98"/>
    </cacheField>
    <cacheField name="FC" numFmtId="0">
      <sharedItems containsBlank="1"/>
    </cacheField>
    <cacheField name="AV engineer" numFmtId="0">
      <sharedItems containsBlank="1"/>
    </cacheField>
    <cacheField name="SO" numFmtId="0">
      <sharedItems containsBlank="1" containsMixedTypes="1" containsNumber="1" containsInteger="1" minValue="52862417" maxValue="53029418"/>
    </cacheField>
    <cacheField name="AIR" numFmtId="0">
      <sharedItems containsBlank="1"/>
    </cacheField>
    <cacheField name="link" numFmtId="0">
      <sharedItems containsBlank="1"/>
    </cacheField>
    <cacheField name="AIR issue confirmed" numFmtId="0">
      <sharedItems containsBlank="1"/>
    </cacheField>
    <cacheField name="AIR FC" numFmtId="0">
      <sharedItems containsBlank="1"/>
    </cacheField>
    <cacheField name="Air issue description" numFmtId="0">
      <sharedItems containsBlank="1"/>
    </cacheField>
    <cacheField name="Close notes" numFmtId="0">
      <sharedItems containsBlank="1"/>
    </cacheField>
    <cacheField name="P Hits" numFmtId="0">
      <sharedItems containsBlank="1" count="4">
        <s v="N"/>
        <m/>
        <s v="Y"/>
        <s v=" "/>
      </sharedItems>
    </cacheField>
    <cacheField name="U Hits" numFmtId="0">
      <sharedItems containsBlank="1" count="3">
        <s v="N"/>
        <m/>
        <s v="Y"/>
      </sharedItems>
    </cacheField>
    <cacheField name="Reconciled" numFmtId="0">
      <sharedItems containsBlank="1" count="3">
        <s v="Y"/>
        <m/>
        <s v="N" u="1"/>
      </sharedItems>
    </cacheField>
    <cacheField name="Remarks" numFmtId="0">
      <sharedItems containsBlank="1" longText="1"/>
    </cacheField>
    <cacheField name="Overrule check" numFmtId="0">
      <sharedItems containsBlank="1"/>
    </cacheField>
    <cacheField name="Category" numFmtId="0">
      <sharedItems containsBlank="1" count="8">
        <s v="Structural"/>
        <s v="Structural "/>
        <m/>
        <s v="Sturctural"/>
        <s v="Workmanship"/>
        <s v="System Specific"/>
        <s v="Part Swap"/>
        <s v="TBD" u="1"/>
      </sharedItems>
    </cacheField>
    <cacheField name="Status" numFmtId="0">
      <sharedItems containsBlank="1" count="12">
        <s v="Need Investigation"/>
        <m/>
        <s v="Solution Known"/>
        <s v="Solution Released"/>
        <s v="Under Investigation"/>
        <s v="Solved"/>
        <s v="Solution Available"/>
        <s v="Aborted"/>
        <s v="Part Swap"/>
        <s v="Solution Released "/>
        <s v="Ned" u="1"/>
        <s v="TBD" u="1"/>
      </sharedItems>
    </cacheField>
    <cacheField name="XLD" numFmtId="0">
      <sharedItems containsBlank="1" count="3">
        <s v="Short down"/>
        <s v="XLD"/>
        <m/>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05">
  <r>
    <s v="EZ60"/>
    <s v="Intel"/>
    <x v="0"/>
    <n v="52"/>
    <s v="N/A"/>
    <m/>
    <s v="N/A"/>
    <s v="N/A"/>
    <x v="0"/>
    <m/>
    <s v="FC-001"/>
    <s v="SDLG "/>
    <m/>
    <s v="P826290"/>
    <s v="P826290"/>
    <s v="Y"/>
    <s v="not found"/>
    <s v="not found"/>
    <s v="not found"/>
    <x v="0"/>
    <x v="0"/>
    <x v="0"/>
    <m/>
    <m/>
    <x v="0"/>
    <x v="0"/>
    <x v="0"/>
  </r>
  <r>
    <s v="AJ99"/>
    <s v="SEC"/>
    <x v="0"/>
    <n v="52"/>
    <s v="N/A"/>
    <m/>
    <s v="N/A"/>
    <s v="N/A"/>
    <x v="1"/>
    <m/>
    <m/>
    <s v="no FC filled"/>
    <n v="52924012"/>
    <s v="P810462"/>
    <s v="P810462"/>
    <s v="N"/>
    <s v="not found"/>
    <s v="not found"/>
    <s v="not found"/>
    <x v="0"/>
    <x v="0"/>
    <x v="0"/>
    <m/>
    <m/>
    <x v="1"/>
    <x v="0"/>
    <x v="0"/>
  </r>
  <r>
    <s v="ET18"/>
    <s v="TSMC"/>
    <x v="1"/>
    <n v="52"/>
    <s v="N/A"/>
    <m/>
    <m/>
    <s v="N/A"/>
    <x v="2"/>
    <n v="0.5"/>
    <s v="FC-009"/>
    <s v="MKWQ"/>
    <n v="52946165"/>
    <s v="P807774"/>
    <s v="P807774"/>
    <s v="N"/>
    <s v="DC"/>
    <s v="[E100] Lot fails on DW-5C00/ DW-5A01 error due to +/-2 wbin mismatch (E100 FW containment) (KH72, JF75) SP40"/>
    <s v="[intake 2437]_x000a_wk38.3: Linked to P805764_x000a_wk37.3: RC known and solution already available in SPA 140v2 - 614017_x000a_wk2437.1 New hit seen on Pi10 during reliab (Wafer reject only)"/>
    <x v="0"/>
    <x v="0"/>
    <x v="0"/>
    <s v="MKWQ-wk2441.6: Issue not on AVP yet, and no data as of now. Hard to say, LULU is a ILL cpd but failure looks like related to SRC"/>
    <m/>
    <x v="2"/>
    <x v="1"/>
    <x v="0"/>
  </r>
  <r>
    <s v="AJ99"/>
    <s v="SEC"/>
    <x v="2"/>
    <n v="52"/>
    <s v="N/A"/>
    <m/>
    <m/>
    <m/>
    <x v="3"/>
    <n v="0.5"/>
    <s v="FC-001"/>
    <s v="SDLG "/>
    <n v="52937116"/>
    <s v="P808366"/>
    <s v="P808366"/>
    <s v="Y"/>
    <s v="WH"/>
    <s v="SECS and Track interface settings will set to offline/disable after system restart"/>
    <s v="[intake 2441]_x000a_wk42.2 Ontrack_x000a_wk41.1: 9k on SP37 still possible ? Get solution in Batch 5"/>
    <x v="0"/>
    <x v="0"/>
    <x v="0"/>
    <m/>
    <m/>
    <x v="0"/>
    <x v="2"/>
    <x v="0"/>
  </r>
  <r>
    <s v="ET18"/>
    <s v="TSMC"/>
    <x v="3"/>
    <n v="52"/>
    <s v="N/A"/>
    <m/>
    <m/>
    <m/>
    <x v="4"/>
    <m/>
    <s v="FC-009"/>
    <s v="MKWQ"/>
    <n v="52978629"/>
    <s v="P836948"/>
    <s v="P836948"/>
    <s v="Y"/>
    <s v="MP"/>
    <s v="[NXE3800][TECALGO] DW-3425/DW-343B: Production Wafer OverDose after Die Repair failed"/>
    <s v="[intake 2450]_x000a_wk51.3: Solution in SPA141v3&amp; SPA140 in wk2503 HOI SWI.  _x000a_wk50.3: Request to make sure solution is ready for release to customer in wk2504"/>
    <x v="0"/>
    <x v="0"/>
    <x v="0"/>
    <m/>
    <m/>
    <x v="2"/>
    <x v="1"/>
    <x v="0"/>
  </r>
  <r>
    <s v="JF75"/>
    <s v="SEC"/>
    <x v="4"/>
    <n v="3"/>
    <n v="2503"/>
    <d v="2025-01-15T00:00:00"/>
    <m/>
    <m/>
    <x v="5"/>
    <n v="2"/>
    <s v="FC-064"/>
    <s v="CWCL"/>
    <n v="53029418"/>
    <s v="P836948"/>
    <s v="P836948"/>
    <s v="Y"/>
    <s v="MP"/>
    <s v="[NXE3800][TECALGO] DW-3425/DW-343B: Production Wafer OverDose after Die Repair failed"/>
    <s v="[intake 2450]_x000a_wk51.3: Solution in SPA141v3&amp; SPA140 in wk2503 HOI SWI.  _x000a_wk50.3: Request to make sure solution is ready for release to customer in wk2504"/>
    <x v="1"/>
    <x v="1"/>
    <x v="1"/>
    <s v="CWCL-wk2503: Issue is introduced by SRC DT control problem, so it caused wafer overdose, then trigger KE-9101."/>
    <m/>
    <x v="0"/>
    <x v="2"/>
    <x v="0"/>
  </r>
  <r>
    <s v="JF75"/>
    <s v="SEC"/>
    <x v="5"/>
    <n v="3"/>
    <n v="2503"/>
    <d v="2025-01-15T00:00:00"/>
    <m/>
    <m/>
    <x v="6"/>
    <n v="2"/>
    <s v="FC-001"/>
    <s v="SDLG "/>
    <m/>
    <m/>
    <m/>
    <m/>
    <s v="no AIR"/>
    <s v="no AIR"/>
    <s v="no AIR"/>
    <x v="1"/>
    <x v="1"/>
    <x v="1"/>
    <m/>
    <m/>
    <x v="2"/>
    <x v="1"/>
    <x v="0"/>
  </r>
  <r>
    <s v="AJ99"/>
    <s v="SEC"/>
    <x v="2"/>
    <n v="3"/>
    <n v="2503"/>
    <d v="2025-01-15T00:00:00"/>
    <m/>
    <m/>
    <x v="7"/>
    <n v="1.8"/>
    <s v="TBC"/>
    <s v="not found"/>
    <n v="53013306"/>
    <m/>
    <m/>
    <m/>
    <s v="no AIR"/>
    <s v="no AIR"/>
    <s v="no AIR"/>
    <x v="1"/>
    <x v="1"/>
    <x v="1"/>
    <m/>
    <m/>
    <x v="2"/>
    <x v="1"/>
    <x v="0"/>
  </r>
  <r>
    <s v="EU34"/>
    <s v="TSMC"/>
    <x v="6"/>
    <n v="3"/>
    <n v="2503"/>
    <d v="2025-01-15T00:00:00"/>
    <m/>
    <m/>
    <x v="8"/>
    <n v="5"/>
    <s v="FC-002"/>
    <s v="ANHG"/>
    <n v="53025124"/>
    <s v="P847938"/>
    <m/>
    <m/>
    <s v="RH"/>
    <s v="mEU34 SO53025124 CU_OT_RH IVR suffer RU-0B00 at CVRST3"/>
    <s v=""/>
    <x v="1"/>
    <x v="1"/>
    <x v="1"/>
    <s v="wk 2503.3: ANHG - reliab hit, containment found is to re-init. MTBF hits seen previously in ET18 and EU34 in beginning of jan. can we confirm if total duration includes other actions? Correct AIR is linked. Cannot access SDT with PMA yet"/>
    <m/>
    <x v="2"/>
    <x v="1"/>
    <x v="0"/>
  </r>
  <r>
    <s v="EZ60"/>
    <s v="Intel"/>
    <x v="7"/>
    <n v="3"/>
    <n v="2503"/>
    <d v="2025-01-15T00:00:00"/>
    <m/>
    <m/>
    <x v="9"/>
    <n v="2"/>
    <s v="FC-004"/>
    <s v="ANHG"/>
    <m/>
    <m/>
    <m/>
    <m/>
    <s v="no AIR"/>
    <s v="no AIR"/>
    <s v="no AIR"/>
    <x v="1"/>
    <x v="1"/>
    <x v="1"/>
    <m/>
    <m/>
    <x v="2"/>
    <x v="1"/>
    <x v="0"/>
  </r>
  <r>
    <s v="ET18"/>
    <s v="TSMC"/>
    <x v="6"/>
    <n v="3"/>
    <n v="2503"/>
    <d v="2025-01-14T00:00:00"/>
    <m/>
    <m/>
    <x v="10"/>
    <n v="3.5"/>
    <s v="FC-002"/>
    <s v="ANHG"/>
    <n v="53022379"/>
    <s v="P847938"/>
    <s v="P847938"/>
    <s v="Y"/>
    <s v="RH"/>
    <s v="mEU34 SO53025124 CU_OT_RH IVR suffer RU-0B00 at CVRST3"/>
    <s v=""/>
    <x v="1"/>
    <x v="1"/>
    <x v="1"/>
    <s v="wk 2503.3: ANHG - reliab hit, containment found is to re-init. MTBF hits seen previously in ET18 and EU34 in beginning of jan. can we confirm if total duration includes other actions? Correct AIR is linked. Cannot access SDT with PMA yet"/>
    <m/>
    <x v="2"/>
    <x v="1"/>
    <x v="0"/>
  </r>
  <r>
    <s v="AJ99"/>
    <s v="SEC"/>
    <x v="8"/>
    <n v="3"/>
    <n v="2503"/>
    <d v="2025-01-14T00:00:00"/>
    <m/>
    <m/>
    <x v="11"/>
    <n v="0.2"/>
    <s v="FC-006"/>
    <s v="MKWQ"/>
    <s v="TBC"/>
    <m/>
    <s v=""/>
    <m/>
    <s v="no AIR"/>
    <s v="no AIR"/>
    <s v="no AIR"/>
    <x v="1"/>
    <x v="1"/>
    <x v="1"/>
    <m/>
    <m/>
    <x v="2"/>
    <x v="1"/>
    <x v="0"/>
  </r>
  <r>
    <s v="JF75"/>
    <s v="SEC"/>
    <x v="4"/>
    <n v="3"/>
    <n v="2503"/>
    <d v="2025-01-13T00:00:00"/>
    <m/>
    <s v="TBC"/>
    <x v="12"/>
    <m/>
    <s v="FC-064"/>
    <s v="not found"/>
    <n v="53029418"/>
    <m/>
    <s v=""/>
    <m/>
    <s v="no AIR"/>
    <s v="no AIR"/>
    <s v="no AIR"/>
    <x v="1"/>
    <x v="1"/>
    <x v="1"/>
    <m/>
    <m/>
    <x v="2"/>
    <x v="1"/>
    <x v="0"/>
  </r>
  <r>
    <s v="ET18"/>
    <s v="TSMC"/>
    <x v="9"/>
    <n v="3"/>
    <n v="2503"/>
    <d v="2025-01-13T00:00:00"/>
    <m/>
    <s v="TBC"/>
    <x v="13"/>
    <n v="2"/>
    <s v="FC-002"/>
    <s v="ANHG"/>
    <n v="53022049"/>
    <s v="P814183"/>
    <s v="P814183"/>
    <s v="Y"/>
    <s v="RH"/>
    <s v="|NXE3800|VHV| WAFCAR failed on CN-00C0 for RPMA"/>
    <s v="[intake 2437]_x000a_wk423.: Linked to leading O515487 _x000a_wk41.3: RPAS mk2 introduction planned. Test for wk47-51. Expected release next year. Containment: PCS improved, can't be improved in SW. Expecting a Start/Stop introduction._x000a_ _x000a_Wk39.3: IBS team not involved "/>
    <x v="1"/>
    <x v="1"/>
    <x v="1"/>
    <m/>
    <m/>
    <x v="2"/>
    <x v="1"/>
    <x v="0"/>
  </r>
  <r>
    <s v="AJ99"/>
    <s v="SEC"/>
    <x v="10"/>
    <n v="3"/>
    <n v="2503"/>
    <d v="2025-01-13T00:00:00"/>
    <m/>
    <d v="1899-12-30T08:30:00"/>
    <x v="14"/>
    <n v="1"/>
    <s v="FC-012"/>
    <s v="ARWY "/>
    <n v="53028651"/>
    <m/>
    <s v=""/>
    <m/>
    <s v="no AIR"/>
    <s v="no AIR"/>
    <s v="no AIR"/>
    <x v="1"/>
    <x v="1"/>
    <x v="1"/>
    <m/>
    <m/>
    <x v="2"/>
    <x v="1"/>
    <x v="0"/>
  </r>
  <r>
    <s v="ET18"/>
    <s v="TSMC"/>
    <x v="11"/>
    <n v="3"/>
    <n v="2503"/>
    <d v="2025-01-13T00:00:00"/>
    <m/>
    <m/>
    <x v="15"/>
    <n v="0.1"/>
    <s v="FC-001"/>
    <s v="SDLG "/>
    <s v="TBD"/>
    <m/>
    <s v=""/>
    <m/>
    <s v="no AIR"/>
    <s v="no AIR"/>
    <s v="no AIR"/>
    <x v="1"/>
    <x v="1"/>
    <x v="1"/>
    <m/>
    <m/>
    <x v="2"/>
    <x v="1"/>
    <x v="0"/>
  </r>
  <r>
    <s v="AJ99"/>
    <s v="SEC"/>
    <x v="12"/>
    <n v="2"/>
    <n v="2502"/>
    <d v="2025-01-11T00:00:00"/>
    <m/>
    <d v="1899-12-30T18:59:50"/>
    <x v="16"/>
    <n v="0.93"/>
    <s v="FC-025"/>
    <s v="STRG"/>
    <n v="53028999"/>
    <s v="P820945"/>
    <s v="P820945"/>
    <s v="N"/>
    <s v="WH"/>
    <s v="[NXE3800][DS64] PG-48B4 occurs intermittently which reports scan concatenation issues"/>
    <s v="[intake 2449]_x000a_wk50.2: Need support from SWI"/>
    <x v="2"/>
    <x v="2"/>
    <x v="0"/>
    <m/>
    <m/>
    <x v="2"/>
    <x v="1"/>
    <x v="0"/>
  </r>
  <r>
    <s v="ET18"/>
    <s v="TSMC"/>
    <x v="9"/>
    <n v="2"/>
    <n v="2502"/>
    <d v="2025-01-11T00:00:00"/>
    <m/>
    <d v="1899-12-30T19:21:49"/>
    <x v="17"/>
    <n v="1.72"/>
    <s v="FC-002"/>
    <s v="ANHG"/>
    <n v="53022049"/>
    <s v="P814183"/>
    <s v="P814183"/>
    <s v="Y"/>
    <s v="RH"/>
    <s v="|NXE3800|VHV| WAFCAR failed on CN-00C0 for RPMA"/>
    <s v="[intake 2437]_x000a_wk423.: Linked to leading O515487 _x000a_wk41.3: RPAS mk2 introduction planned. Test for wk47-51. Expected release next year. Containment: PCS improved, can't be improved in SW. Expecting a Start/Stop introduction._x000a_ _x000a_Wk39.3: IBS team not involved "/>
    <x v="2"/>
    <x v="2"/>
    <x v="0"/>
    <s v="wk2503.4 JHVD: changed FC from FC-003 to FC-002"/>
    <m/>
    <x v="2"/>
    <x v="1"/>
    <x v="0"/>
  </r>
  <r>
    <s v="JF75"/>
    <s v="SEC"/>
    <x v="13"/>
    <n v="2"/>
    <n v="2502"/>
    <d v="2025-01-10T00:00:00"/>
    <m/>
    <m/>
    <x v="18"/>
    <n v="1"/>
    <s v="FC-001"/>
    <s v="SDLG "/>
    <n v="53027538"/>
    <m/>
    <s v=""/>
    <m/>
    <s v="no AIR"/>
    <s v="no AIR"/>
    <s v="no AIR"/>
    <x v="0"/>
    <x v="0"/>
    <x v="0"/>
    <s v="SRGC: Should be reconciled out as CA since there was Track issue and no issue on Scanner side. Verified with LT "/>
    <m/>
    <x v="2"/>
    <x v="1"/>
    <x v="0"/>
  </r>
  <r>
    <s v="JF75"/>
    <s v="SEC"/>
    <x v="14"/>
    <n v="2"/>
    <n v="2502"/>
    <d v="2025-01-10T00:00:00"/>
    <m/>
    <d v="1899-12-30T15:18:41"/>
    <x v="19"/>
    <n v="1.66"/>
    <s v="FC-042"/>
    <s v="SDLG "/>
    <s v="N/A"/>
    <m/>
    <m/>
    <m/>
    <s v="no AIR"/>
    <s v="no AIR"/>
    <s v="no AIR"/>
    <x v="0"/>
    <x v="0"/>
    <x v="0"/>
    <s v="Reconciled out by SAMO/SMDH from Wave"/>
    <m/>
    <x v="2"/>
    <x v="1"/>
    <x v="0"/>
  </r>
  <r>
    <s v="EZ60"/>
    <s v="Intel"/>
    <x v="15"/>
    <n v="2"/>
    <n v="2502"/>
    <d v="2025-01-10T00:00:00"/>
    <m/>
    <d v="1899-12-30T22:08:50"/>
    <x v="20"/>
    <n v="3.05"/>
    <s v="FC-001"/>
    <s v="SDLG "/>
    <n v="53028742"/>
    <s v="P849766"/>
    <s v="P849766"/>
    <m/>
    <s v="not found"/>
    <s v="not found"/>
    <s v="not found"/>
    <x v="2"/>
    <x v="2"/>
    <x v="0"/>
    <s v="Reconciled in by SAMO/SMDH from Wave"/>
    <m/>
    <x v="2"/>
    <x v="1"/>
    <x v="0"/>
  </r>
  <r>
    <s v="EZ60"/>
    <s v="Intel"/>
    <x v="16"/>
    <n v="2"/>
    <n v="2502"/>
    <d v="2025-01-09T00:00:00"/>
    <m/>
    <d v="1899-12-30T19:52:44"/>
    <x v="21"/>
    <n v="1"/>
    <s v="FC-076"/>
    <s v="KNGN"/>
    <m/>
    <s v="P849775"/>
    <s v="P849775"/>
    <m/>
    <s v="not found"/>
    <s v="not found"/>
    <s v="not found"/>
    <x v="2"/>
    <x v="2"/>
    <x v="0"/>
    <s v="Reconciled in by SAMO/SMDH from Wave"/>
    <m/>
    <x v="2"/>
    <x v="1"/>
    <x v="0"/>
  </r>
  <r>
    <s v="AJ99"/>
    <s v="SEC"/>
    <x v="17"/>
    <n v="2"/>
    <n v="2502"/>
    <d v="2025-01-08T00:00:00"/>
    <m/>
    <d v="1899-12-30T08:21:46"/>
    <x v="22"/>
    <n v="3.96"/>
    <s v="FC-071"/>
    <s v="JMTP "/>
    <m/>
    <m/>
    <s v=""/>
    <m/>
    <s v="no AIR"/>
    <s v="no AIR"/>
    <s v="no AIR"/>
    <x v="0"/>
    <x v="0"/>
    <x v="0"/>
    <m/>
    <m/>
    <x v="2"/>
    <x v="1"/>
    <x v="0"/>
  </r>
  <r>
    <s v="JF75"/>
    <s v="SEC"/>
    <x v="18"/>
    <n v="2"/>
    <n v="2502"/>
    <d v="2025-01-08T00:00:00"/>
    <m/>
    <d v="1899-12-30T23:05:25"/>
    <x v="23"/>
    <n v="0.27"/>
    <s v="FC-001"/>
    <s v="SDLG "/>
    <s v="N/A"/>
    <m/>
    <m/>
    <m/>
    <s v="no AIR"/>
    <s v="no AIR"/>
    <s v="no AIR"/>
    <x v="0"/>
    <x v="0"/>
    <x v="0"/>
    <s v="Reconciled out by SAMO/SMDH from Wave"/>
    <m/>
    <x v="2"/>
    <x v="1"/>
    <x v="0"/>
  </r>
  <r>
    <s v="JF75"/>
    <s v="SEC"/>
    <x v="19"/>
    <n v="2"/>
    <n v="2502"/>
    <d v="2025-01-08T00:00:00"/>
    <m/>
    <d v="1899-12-30T19:39:07"/>
    <x v="24"/>
    <n v="0.85"/>
    <s v="FC-012"/>
    <s v="ARWY "/>
    <s v="N/A"/>
    <s v="P849777"/>
    <s v="P849777"/>
    <m/>
    <s v="not found"/>
    <s v="not found"/>
    <s v="not found"/>
    <x v="2"/>
    <x v="2"/>
    <x v="0"/>
    <m/>
    <m/>
    <x v="2"/>
    <x v="1"/>
    <x v="0"/>
  </r>
  <r>
    <s v="JF75"/>
    <s v="SEC"/>
    <x v="20"/>
    <n v="2"/>
    <n v="2502"/>
    <d v="2025-01-08T00:00:00"/>
    <m/>
    <d v="1899-12-30T02:35:46"/>
    <x v="19"/>
    <n v="0.8"/>
    <s v="FC-071"/>
    <s v="JMTP "/>
    <n v="52975468"/>
    <s v="P829275"/>
    <s v="P829275"/>
    <s v="Y"/>
    <s v="BD"/>
    <s v="[E100] MX-action event failed due to HV enable fail. Individual mx-actions repeated despite being previously OK"/>
    <s v=""/>
    <x v="0"/>
    <x v="0"/>
    <x v="0"/>
    <m/>
    <m/>
    <x v="2"/>
    <x v="1"/>
    <x v="0"/>
  </r>
  <r>
    <s v="AJ99"/>
    <s v="SEC"/>
    <x v="21"/>
    <n v="2"/>
    <n v="2502"/>
    <d v="2025-01-08T00:00:00"/>
    <m/>
    <d v="1899-12-30T08:30:01"/>
    <x v="25"/>
    <n v="3.82"/>
    <s v="FC-082"/>
    <s v="not found"/>
    <n v="53025111"/>
    <s v="P847975"/>
    <s v="P847975"/>
    <m/>
    <s v="not found"/>
    <s v="not found"/>
    <s v="not found"/>
    <x v="2"/>
    <x v="2"/>
    <x v="0"/>
    <s v="Reconciled in by SAMO/SMDH from Wave"/>
    <m/>
    <x v="2"/>
    <x v="1"/>
    <x v="0"/>
  </r>
  <r>
    <s v="AJ99"/>
    <s v="SEC"/>
    <x v="20"/>
    <n v="2"/>
    <n v="2502"/>
    <d v="2025-01-07T00:00:00"/>
    <m/>
    <d v="1899-12-30T09:12:23"/>
    <x v="26"/>
    <n v="0.82"/>
    <s v="FC-071"/>
    <s v="JMTP "/>
    <s v="N/A"/>
    <s v="P825866"/>
    <s v="P825866"/>
    <m/>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2"/>
    <x v="1"/>
    <x v="0"/>
  </r>
  <r>
    <s v="JF75"/>
    <s v="SEC"/>
    <x v="18"/>
    <n v="2"/>
    <n v="2502"/>
    <d v="2025-01-07T00:00:00"/>
    <m/>
    <d v="1899-12-30T17:59:47"/>
    <x v="22"/>
    <n v="0.78"/>
    <s v="FC-001"/>
    <s v="SDLG "/>
    <s v="N/A"/>
    <m/>
    <m/>
    <m/>
    <s v="no AIR"/>
    <s v="no AIR"/>
    <s v="no AIR"/>
    <x v="0"/>
    <x v="0"/>
    <x v="0"/>
    <s v="Reconciled out by SAMO/SMDH from Wave"/>
    <m/>
    <x v="2"/>
    <x v="1"/>
    <x v="0"/>
  </r>
  <r>
    <s v="ET18"/>
    <s v="TSMC"/>
    <x v="22"/>
    <n v="2"/>
    <n v="2502"/>
    <d v="2025-01-06T00:00:00"/>
    <m/>
    <m/>
    <x v="27"/>
    <n v="0.2"/>
    <s v="FC-001"/>
    <s v="SDLG "/>
    <n v="52971340"/>
    <s v="P834708"/>
    <s v="P834708"/>
    <s v="Y"/>
    <s v="WH"/>
    <s v="Tracking - Lot Aborted by WE-0406 WH SUR HIPA error"/>
    <s v="[intake 2446]_x000a_wk50.2: Continue to monitor to ensure solution works_x000a_wk49.2: Being investigated and info coming in from LT."/>
    <x v="0"/>
    <x v="0"/>
    <x v="0"/>
    <m/>
    <m/>
    <x v="2"/>
    <x v="1"/>
    <x v="0"/>
  </r>
  <r>
    <s v="ET18"/>
    <s v="TSMC"/>
    <x v="23"/>
    <n v="1"/>
    <n v="2501"/>
    <d v="2025-01-04T00:00:00"/>
    <m/>
    <d v="1899-12-30T20:53:31"/>
    <x v="28"/>
    <n v="0.66"/>
    <s v="FC-001"/>
    <s v="SDLG "/>
    <n v="52994678"/>
    <s v="P805784"/>
    <s v="P805784"/>
    <s v="N"/>
    <s v="WH"/>
    <s v="LOT recovery fails on SUR error WX-0415 Move not allowed with brake applied to axis. Move not allowed with brake applied to Z. "/>
    <s v="[Intake 2421]_x000a_wk48.5: Linked to driver functionality which needs larger work to be done. Needs a plan update_x000a_wk47.3: unlikely to make wk50_x000a_wk33.5:_x000a_Umbrella AIR P7849549 (Replaced in reliab ambition list with AIRs listed below:_x000a__x000a_P805784 --&gt; Unclear single "/>
    <x v="2"/>
    <x v="2"/>
    <x v="0"/>
    <m/>
    <m/>
    <x v="2"/>
    <x v="1"/>
    <x v="0"/>
  </r>
  <r>
    <s v="ET18"/>
    <s v="TSMC"/>
    <x v="9"/>
    <n v="1"/>
    <n v="2501"/>
    <d v="2025-01-04T00:00:00"/>
    <m/>
    <d v="1899-12-30T15:38:31"/>
    <x v="29"/>
    <n v="3.95"/>
    <s v="FC-002"/>
    <s v="ANHG"/>
    <n v="53022049"/>
    <s v="P814183"/>
    <s v="P814183"/>
    <s v="Y"/>
    <s v="RH"/>
    <s v="|NXE3800|VHV| WAFCAR failed on CN-00C0 for RPMA"/>
    <s v="[intake 2437]_x000a_wk423.: Linked to leading O515487 _x000a_wk41.3: RPAS mk2 introduction planned. Test for wk47-51. Expected release next year. Containment: PCS improved, can't be improved in SW. Expecting a Start/Stop introduction._x000a_ _x000a_Wk39.3: IBS team not involved "/>
    <x v="2"/>
    <x v="2"/>
    <x v="0"/>
    <s v="wk 2503.2 - ANHG: AIR should be P814183"/>
    <m/>
    <x v="2"/>
    <x v="1"/>
    <x v="0"/>
  </r>
  <r>
    <s v="AJ99"/>
    <s v="SEC"/>
    <x v="20"/>
    <n v="1"/>
    <n v="2501"/>
    <d v="2025-01-04T00:00:00"/>
    <m/>
    <d v="1899-12-30T09:17:37"/>
    <x v="30"/>
    <n v="1.1499999999999999"/>
    <s v="FC-071"/>
    <s v="JMTP "/>
    <n v="52992486"/>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2"/>
    <x v="1"/>
    <x v="0"/>
  </r>
  <r>
    <s v="ET18"/>
    <s v="TSMC"/>
    <x v="9"/>
    <n v="1"/>
    <n v="2501"/>
    <d v="2025-01-03T00:00:00"/>
    <m/>
    <d v="1899-12-30T09:33:05"/>
    <x v="29"/>
    <n v="1.75"/>
    <s v="FC-002"/>
    <s v="ANHG"/>
    <n v="53022049"/>
    <s v="P814183"/>
    <s v="P814183"/>
    <s v="Y"/>
    <s v="RH"/>
    <s v="|NXE3800|VHV| WAFCAR failed on CN-00C0 for RPMA"/>
    <s v="[intake 2437]_x000a_wk423.: Linked to leading O515487 _x000a_wk41.3: RPAS mk2 introduction planned. Test for wk47-51. Expected release next year. Containment: PCS improved, can't be improved in SW. Expecting a Start/Stop introduction._x000a_ _x000a_Wk39.3: IBS team not involved "/>
    <x v="2"/>
    <x v="2"/>
    <x v="0"/>
    <s v="wk 2503.2 - ANHG: AIR should be P814183"/>
    <m/>
    <x v="2"/>
    <x v="1"/>
    <x v="0"/>
  </r>
  <r>
    <s v="ET18"/>
    <s v="TSMC"/>
    <x v="24"/>
    <n v="1"/>
    <n v="2501"/>
    <d v="2025-01-02T00:00:00"/>
    <d v="1899-12-30T15:05:00"/>
    <m/>
    <x v="31"/>
    <n v="0.5"/>
    <s v="FC-001"/>
    <s v="SDLG "/>
    <n v="53020479"/>
    <m/>
    <s v=""/>
    <s v="N/A"/>
    <s v="no AIR"/>
    <s v="no AIR"/>
    <s v="no AIR"/>
    <x v="0"/>
    <x v="0"/>
    <x v="0"/>
    <m/>
    <m/>
    <x v="2"/>
    <x v="1"/>
    <x v="0"/>
  </r>
  <r>
    <s v="ET18"/>
    <s v="TSMC"/>
    <x v="25"/>
    <n v="1"/>
    <n v="2501"/>
    <d v="2025-01-02T00:00:00"/>
    <m/>
    <m/>
    <x v="32"/>
    <n v="0.67"/>
    <s v="FC-025"/>
    <s v="STRG"/>
    <n v="53018106"/>
    <s v="P815534"/>
    <s v="P815534"/>
    <s v="Y"/>
    <s v="PR"/>
    <s v="[3800][EZ60] PG-6208 [PXxAVS:Ctrl.X.FB.ChkError]  Servo error: steady state position error. "/>
    <s v="[intake 2437]_x000a_wk44.3: 'False earthquake detection'. 2 different hits (1x vibration in airmount triggered AVIS to open loop, 1x hit when system idle will be targetted with this AIR wk45.3)_x000a_wk41.3: No follow up done. Stuck at waiting for info _x000a_wk40.3: RC ex"/>
    <x v="2"/>
    <x v="2"/>
    <x v="0"/>
    <m/>
    <m/>
    <x v="2"/>
    <x v="1"/>
    <x v="0"/>
  </r>
  <r>
    <s v="ET18"/>
    <s v="TSMC"/>
    <x v="25"/>
    <n v="1"/>
    <n v="2501"/>
    <d v="2024-12-31T00:00:00"/>
    <d v="1899-12-30T02:38:30"/>
    <d v="1899-12-30T03:49:45"/>
    <x v="33"/>
    <n v="3.42"/>
    <s v="FC-025"/>
    <s v="STRG"/>
    <n v="53018106"/>
    <s v="P815534"/>
    <s v="P815534"/>
    <s v="Y"/>
    <s v="PR"/>
    <s v="[3800][EZ60] PG-6208 [PXxAVS:Ctrl.X.FB.ChkError]  Servo error: steady state position error. "/>
    <s v="[intake 2437]_x000a_wk44.3: 'False earthquake detection'. 2 different hits (1x vibration in airmount triggered AVIS to open loop, 1x hit when system idle will be targetted with this AIR wk45.3)_x000a_wk41.3: No follow up done. Stuck at waiting for info _x000a_wk40.3: RC ex"/>
    <x v="0"/>
    <x v="2"/>
    <x v="0"/>
    <m/>
    <m/>
    <x v="2"/>
    <x v="1"/>
    <x v="0"/>
  </r>
  <r>
    <s v="ET18"/>
    <s v="TSMC"/>
    <x v="26"/>
    <n v="1"/>
    <n v="2501"/>
    <d v="2024-12-30T00:00:00"/>
    <m/>
    <d v="1899-12-30T08:23:55"/>
    <x v="34"/>
    <n v="0.99"/>
    <s v="FC-001"/>
    <s v="SDLG "/>
    <n v="53018047"/>
    <s v="P780338"/>
    <s v="P780338"/>
    <s v="N"/>
    <s v="WH"/>
    <s v="After LOT abort on WX-180E, [NoMoLa] recovers system, but re-start of LOT keeps failing on WX-180E - Provided Lot ID (126) is already present in the queue"/>
    <s v="[intake 2419]_x000a_wk30.5: Expect to be available in wk32_x000a_wk27.2: Need to check if Sw soluiton is sufficient or a model update is needed_x000a_wk25.2: Investigation on-going. _x000a_wk23.3 Pending resources for SW development_x000a_wk22,2: Move coverage of child AIR to this _x000a_wk"/>
    <x v="0"/>
    <x v="2"/>
    <x v="0"/>
    <s v="It should be solved with SP38. Needs verification "/>
    <m/>
    <x v="2"/>
    <x v="1"/>
    <x v="0"/>
  </r>
  <r>
    <s v="AJ99"/>
    <s v="SEC"/>
    <x v="27"/>
    <n v="1"/>
    <n v="2501"/>
    <d v="2024-12-30T00:00:00"/>
    <d v="1899-12-30T04:54:00"/>
    <d v="1899-12-30T04:47:15"/>
    <x v="35"/>
    <n v="78.7"/>
    <s v="FC-002"/>
    <s v="ANHG"/>
    <n v="53016791"/>
    <s v="P799885"/>
    <s v="P799885"/>
    <s v="N/A"/>
    <s v="not found"/>
    <s v="not found"/>
    <s v="not found"/>
    <x v="2"/>
    <x v="2"/>
    <x v="0"/>
    <m/>
    <m/>
    <x v="2"/>
    <x v="1"/>
    <x v="1"/>
  </r>
  <r>
    <s v="EZ60"/>
    <s v="Intel"/>
    <x v="15"/>
    <n v="52"/>
    <n v="2452"/>
    <d v="2024-12-29T00:00:00"/>
    <m/>
    <d v="1899-12-30T08:15:34"/>
    <x v="36"/>
    <n v="5.4"/>
    <s v="FC-001"/>
    <s v="SDLG "/>
    <n v="53016878"/>
    <s v="P821654"/>
    <s v="P821654"/>
    <s v="Y"/>
    <s v="WH"/>
    <s v="[ET18] Wafer stuck at TWINSCAN and lot abort triggered after track stops for 5 mins"/>
    <s v="[intake 2442]_x000a_wk47.2: On track for HOI 47.4"/>
    <x v="2"/>
    <x v="2"/>
    <x v="0"/>
    <s v="SDLG: issue is related to track/scanner interface related to P821654 or P814182, no data/traces collected from LT. Need to confirm with project which is correct AIR. FU wk3.1_x000a__x000a_There are 2 more AIRs: P844211 and P473876_x000a_"/>
    <m/>
    <x v="2"/>
    <x v="1"/>
    <x v="0"/>
  </r>
  <r>
    <s v="ET18"/>
    <s v="TSMC"/>
    <x v="22"/>
    <n v="52"/>
    <n v="2452"/>
    <d v="2024-12-28T00:00:00"/>
    <m/>
    <d v="1899-12-30T19:40:32"/>
    <x v="37"/>
    <n v="0.75"/>
    <s v="FC-001"/>
    <s v="SDLG "/>
    <n v="52971340"/>
    <s v="P834708"/>
    <s v="P834708"/>
    <s v="Y"/>
    <s v="WH"/>
    <s v="Tracking - Lot Aborted by WE-0406 WH SUR HIPA error"/>
    <s v="[intake 2446]_x000a_wk50.2: Continue to monitor to ensure solution works_x000a_wk49.2: Being investigated and info coming in from LT."/>
    <x v="0"/>
    <x v="2"/>
    <x v="0"/>
    <m/>
    <m/>
    <x v="2"/>
    <x v="1"/>
    <x v="0"/>
  </r>
  <r>
    <s v="ET18"/>
    <s v="TSMC"/>
    <x v="12"/>
    <n v="52"/>
    <n v="2452"/>
    <d v="2024-12-28T00:00:00"/>
    <m/>
    <d v="1899-12-30T15:45:03"/>
    <x v="38"/>
    <n v="1.58"/>
    <s v="FC-025"/>
    <s v="STRG"/>
    <n v="53004620"/>
    <s v="P844211"/>
    <s v="P844211"/>
    <s v="Y"/>
    <s v="PC"/>
    <s v="[Structural Issue] TSMC_HC_RD mET18_SO53004620_CU_OT_Lot aborted by PG-48B4"/>
    <s v=""/>
    <x v="2"/>
    <x v="2"/>
    <x v="0"/>
    <m/>
    <m/>
    <x v="2"/>
    <x v="1"/>
    <x v="0"/>
  </r>
  <r>
    <s v="EZ60"/>
    <s v="Intel"/>
    <x v="28"/>
    <n v="52"/>
    <n v="2452"/>
    <d v="2024-12-28T00:00:00"/>
    <m/>
    <d v="1899-12-30T13:42:38"/>
    <x v="39"/>
    <n v="4.95"/>
    <s v="FC-002"/>
    <s v="ANHG"/>
    <n v="53016522"/>
    <s v="P761769"/>
    <s v="P761769"/>
    <s v="Y"/>
    <s v="not found"/>
    <s v="not found"/>
    <s v="not found"/>
    <x v="0"/>
    <x v="2"/>
    <x v="0"/>
    <m/>
    <m/>
    <x v="2"/>
    <x v="1"/>
    <x v="0"/>
  </r>
  <r>
    <s v="AJ99"/>
    <s v="SEC"/>
    <x v="29"/>
    <n v="52"/>
    <n v="2452"/>
    <d v="2024-12-26T00:00:00"/>
    <m/>
    <d v="1899-12-30T11:43:34"/>
    <x v="40"/>
    <n v="0.25"/>
    <s v="FC-012"/>
    <s v="ARWY "/>
    <n v="52978338"/>
    <s v="P833747"/>
    <s v="P833747"/>
    <s v="Y"/>
    <s v="PR"/>
    <s v="MPH disabled w/ PX-97A6 during lot operation"/>
    <s v="[intake 2447]"/>
    <x v="0"/>
    <x v="2"/>
    <x v="0"/>
    <m/>
    <m/>
    <x v="2"/>
    <x v="1"/>
    <x v="0"/>
  </r>
  <r>
    <s v="AJ99"/>
    <s v="SEC"/>
    <x v="29"/>
    <n v="52"/>
    <n v="2452"/>
    <d v="2024-12-26T00:00:00"/>
    <m/>
    <d v="1899-12-30T07:53:50"/>
    <x v="40"/>
    <n v="0.67"/>
    <s v="FC-025"/>
    <s v="STRG"/>
    <n v="52975468"/>
    <s v="P833747"/>
    <s v="P833747"/>
    <s v="Y"/>
    <s v="PR"/>
    <s v="MPH disabled w/ PX-97A6 during lot operation"/>
    <s v="[intake 2447]"/>
    <x v="0"/>
    <x v="2"/>
    <x v="0"/>
    <m/>
    <m/>
    <x v="2"/>
    <x v="1"/>
    <x v="0"/>
  </r>
  <r>
    <s v="AJ99"/>
    <s v="SEC"/>
    <x v="29"/>
    <n v="52"/>
    <n v="2452"/>
    <d v="2024-12-25T00:00:00"/>
    <m/>
    <d v="1899-12-30T06:47:31"/>
    <x v="40"/>
    <n v="0.23"/>
    <s v="FC-012"/>
    <s v="ARWY "/>
    <n v="52978338"/>
    <s v="P833747"/>
    <s v="P833747"/>
    <s v="Y"/>
    <s v="PR"/>
    <s v="MPH disabled w/ PX-97A6 during lot operation"/>
    <s v="[intake 2447]"/>
    <x v="0"/>
    <x v="2"/>
    <x v="0"/>
    <m/>
    <m/>
    <x v="2"/>
    <x v="1"/>
    <x v="0"/>
  </r>
  <r>
    <s v="ET18"/>
    <s v="TSMC"/>
    <x v="30"/>
    <n v="52"/>
    <n v="2452"/>
    <d v="2024-12-25T00:00:00"/>
    <m/>
    <d v="1899-12-30T00:37:31"/>
    <x v="41"/>
    <n v="1.1200000000000001"/>
    <s v="FC-003"/>
    <s v="JHVD "/>
    <n v="53013416"/>
    <s v="P770481"/>
    <s v="P770481"/>
    <s v="Y"/>
    <s v="not found"/>
    <s v="not found"/>
    <s v="not found"/>
    <x v="2"/>
    <x v="2"/>
    <x v="0"/>
    <m/>
    <m/>
    <x v="2"/>
    <x v="1"/>
    <x v="0"/>
  </r>
  <r>
    <s v="AJ99"/>
    <s v="SEC"/>
    <x v="20"/>
    <n v="52"/>
    <n v="2452"/>
    <d v="2024-12-24T00:00:00"/>
    <m/>
    <d v="1899-12-30T09:17:52"/>
    <x v="30"/>
    <n v="2.2799999999999998"/>
    <s v="FC-071"/>
    <s v="JMTP "/>
    <n v="52975468"/>
    <s v="P829275"/>
    <s v="P829275"/>
    <s v="Y"/>
    <s v="BD"/>
    <s v="[E100] MX-action event failed due to HV enable fail. Individual mx-actions repeated despite being previously OK"/>
    <s v=""/>
    <x v="0"/>
    <x v="2"/>
    <x v="0"/>
    <m/>
    <m/>
    <x v="2"/>
    <x v="1"/>
    <x v="0"/>
  </r>
  <r>
    <s v="ET18"/>
    <s v="TSMC"/>
    <x v="13"/>
    <n v="52"/>
    <n v="2452"/>
    <d v="2024-12-24T00:00:00"/>
    <m/>
    <d v="1899-12-30T04:21:04"/>
    <x v="42"/>
    <n v="0.18"/>
    <s v="FC-001"/>
    <s v="SDLG "/>
    <n v="53012716"/>
    <s v="P847545"/>
    <s v="P847545"/>
    <s v="N"/>
    <s v="WH"/>
    <s v="Lot aborted by WH-19FC - AUR claim to pick up wafer not granted"/>
    <s v=""/>
    <x v="0"/>
    <x v="2"/>
    <x v="0"/>
    <s v="SDLG Wk02.4:  Already asked project for confirmation of AIR ID: P847545 and P847553, expect tomorrow or Wk03._x000a_MFSX-wk2502.3: Found two AIRs linked to this: P847545 and P847553. I haven't checked them yet!"/>
    <m/>
    <x v="2"/>
    <x v="1"/>
    <x v="0"/>
  </r>
  <r>
    <s v="ET18"/>
    <s v="TSMC"/>
    <x v="23"/>
    <n v="52"/>
    <n v="2452"/>
    <d v="2024-12-23T00:00:00"/>
    <m/>
    <d v="1899-12-30T20:12:28"/>
    <x v="43"/>
    <n v="1.17"/>
    <s v="FC-001"/>
    <s v="SDLG "/>
    <n v="52994678"/>
    <s v="P805784"/>
    <s v="P805784"/>
    <s v="N"/>
    <s v="WH"/>
    <s v="LOT recovery fails on SUR error WX-0415 Move not allowed with brake applied to axis. Move not allowed with brake applied to Z. "/>
    <s v="[Intake 2421]_x000a_wk48.5: Linked to driver functionality which needs larger work to be done. Needs a plan update_x000a_wk47.3: unlikely to make wk50_x000a_wk33.5:_x000a_Umbrella AIR P7849549 (Replaced in reliab ambition list with AIRs listed below:_x000a__x000a_P805784 --&gt; Unclear single "/>
    <x v="2"/>
    <x v="2"/>
    <x v="0"/>
    <m/>
    <m/>
    <x v="2"/>
    <x v="1"/>
    <x v="0"/>
  </r>
  <r>
    <s v="AJ99"/>
    <s v="SEC"/>
    <x v="20"/>
    <n v="52"/>
    <n v="2452"/>
    <d v="2024-12-23T00:00:00"/>
    <d v="1899-12-30T10:21:00"/>
    <d v="1899-12-30T09:04:26"/>
    <x v="30"/>
    <n v="1.5"/>
    <s v="FC-071"/>
    <s v="JMTP "/>
    <n v="52975468"/>
    <s v="P829275"/>
    <s v="P829275"/>
    <s v="Y"/>
    <s v="BD"/>
    <s v="[E100] MX-action event failed due to HV enable fail. Individual mx-actions repeated despite being previously OK"/>
    <s v=""/>
    <x v="0"/>
    <x v="2"/>
    <x v="0"/>
    <m/>
    <m/>
    <x v="2"/>
    <x v="1"/>
    <x v="0"/>
  </r>
  <r>
    <s v="AJ99"/>
    <s v="SEC"/>
    <x v="20"/>
    <n v="51"/>
    <n v="2451"/>
    <d v="2024-12-22T00:00:00"/>
    <d v="1899-12-30T09:09:00"/>
    <d v="1899-12-30T09:09:04"/>
    <x v="44"/>
    <n v="0.4"/>
    <s v="FC-071"/>
    <s v="JMTP "/>
    <n v="53010802"/>
    <s v="P732021"/>
    <s v="P732021"/>
    <s v="N"/>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m/>
    <m/>
    <x v="2"/>
    <x v="1"/>
    <x v="0"/>
  </r>
  <r>
    <s v="ET18"/>
    <s v="TSMC"/>
    <x v="30"/>
    <n v="51"/>
    <n v="2451"/>
    <d v="2024-12-22T00:00:00"/>
    <d v="1899-12-30T20:48:09"/>
    <m/>
    <x v="45"/>
    <n v="1.36"/>
    <s v="FC-003"/>
    <s v="JHVD "/>
    <n v="53011475"/>
    <s v="P806968"/>
    <s v="P806968"/>
    <s v="Y"/>
    <s v="KW"/>
    <s v="[MPAC4] TSEL PHY has instable link after startup in mirrored mode"/>
    <s v="[intake 2438]_x000a_wk40.3: RC understood and fix under testing_x000a_delivery. New HSI needed, likely to be delivered in wk44 _x000a_wk39.3: fix defined for both TSEL issues, testing fix this week. If this wroks 5 boards need FW update (can be released in 1 HSI, but lot o"/>
    <x v="2"/>
    <x v="2"/>
    <x v="0"/>
    <m/>
    <m/>
    <x v="2"/>
    <x v="1"/>
    <x v="0"/>
  </r>
  <r>
    <s v="ET18"/>
    <s v="TSMC"/>
    <x v="12"/>
    <n v="51"/>
    <n v="2451"/>
    <d v="2024-12-17T00:00:00"/>
    <m/>
    <d v="1899-12-30T22:09:10"/>
    <x v="38"/>
    <n v="1.38"/>
    <s v="FC-025"/>
    <s v="STRG"/>
    <n v="53004620"/>
    <s v="P844211"/>
    <s v="P844211"/>
    <s v="Y"/>
    <s v="PC"/>
    <s v="[Structural Issue] TSMC_HC_RD mET18_SO53004620_CU_OT_Lot aborted by PG-48B4"/>
    <s v=""/>
    <x v="2"/>
    <x v="2"/>
    <x v="0"/>
    <m/>
    <m/>
    <x v="2"/>
    <x v="1"/>
    <x v="0"/>
  </r>
  <r>
    <s v="EZ60"/>
    <s v="Intel"/>
    <x v="31"/>
    <n v="51"/>
    <n v="2451"/>
    <d v="2024-12-17T00:00:00"/>
    <m/>
    <d v="1899-12-30T09:09:04"/>
    <x v="46"/>
    <m/>
    <s v="FC-063"/>
    <s v="MKWQ"/>
    <m/>
    <s v="P800469"/>
    <s v="P800469"/>
    <s v="Y"/>
    <s v="ME"/>
    <s v="Pi8 WafCar lot aborted due to root error KI-6206 'The AbCoM measurement quality was too low'"/>
    <s v="[Intake 2437]_x000a_wk44.3: First code expected wk44.5, testing wk45. So still under review if we can meet plan (only SP38 9k)_x000a_wk42.3: SP37 + SP38 9k, customer release wk47 and wk46.4 QBL delivery. Check back on when SP38 rolls out to field  _x000a_wk41.3 Solution ph"/>
    <x v="0"/>
    <x v="0"/>
    <x v="0"/>
    <m/>
    <m/>
    <x v="2"/>
    <x v="1"/>
    <x v="0"/>
  </r>
  <r>
    <s v="ET18"/>
    <s v="TSMC"/>
    <x v="12"/>
    <n v="51"/>
    <n v="2451"/>
    <d v="2024-12-16T00:00:00"/>
    <m/>
    <d v="1899-12-30T20:49:46"/>
    <x v="38"/>
    <n v="2.63"/>
    <s v="FC-025"/>
    <s v="STRG"/>
    <n v="53004620"/>
    <s v="P844211"/>
    <s v="P844211"/>
    <s v="Y"/>
    <s v="PC"/>
    <s v="[Structural Issue] TSMC_HC_RD mET18_SO53004620_CU_OT_Lot aborted by PG-48B4"/>
    <s v=""/>
    <x v="0"/>
    <x v="2"/>
    <x v="0"/>
    <m/>
    <m/>
    <x v="2"/>
    <x v="1"/>
    <x v="0"/>
  </r>
  <r>
    <s v="EZ60"/>
    <s v="Intel"/>
    <x v="32"/>
    <n v="51"/>
    <n v="2451"/>
    <d v="2024-12-16T00:00:00"/>
    <m/>
    <d v="1899-12-30T16:07:00"/>
    <x v="47"/>
    <n v="0.05"/>
    <s v="FC-001"/>
    <s v="SDLG "/>
    <n v="53005677"/>
    <s v="P841602"/>
    <s v="P841602"/>
    <s v="Y"/>
    <s v="WH"/>
    <s v="mET18_SO52992004_Lot abort by WH-252E"/>
    <s v="[intake 2450]"/>
    <x v="0"/>
    <x v="2"/>
    <x v="0"/>
    <m/>
    <m/>
    <x v="2"/>
    <x v="1"/>
    <x v="0"/>
  </r>
  <r>
    <s v="EZ60"/>
    <s v="Intel"/>
    <x v="30"/>
    <n v="51"/>
    <n v="2451"/>
    <d v="2024-12-16T00:00:00"/>
    <m/>
    <d v="1899-12-30T06:23:02"/>
    <x v="48"/>
    <n v="6.9"/>
    <s v="FC-003"/>
    <s v="JHVD "/>
    <n v="53005677"/>
    <s v="P724863"/>
    <s v="P724863"/>
    <s v="Y"/>
    <s v="WS"/>
    <s v="LCW Pressure sensor P1&amp;P2 spike issue "/>
    <s v="[intake 2343]_x000a_wk44.3: Delayed dure to SSB5 work. External relase wk50.3_x000a_wk40.3:On track. Internal release wk47.4 12:00, wk48.3 external release"/>
    <x v="2"/>
    <x v="2"/>
    <x v="0"/>
    <m/>
    <m/>
    <x v="2"/>
    <x v="1"/>
    <x v="0"/>
  </r>
  <r>
    <s v="ET18"/>
    <s v="TSMC"/>
    <x v="33"/>
    <n v="51"/>
    <n v="2451"/>
    <d v="2024-12-16T00:00:00"/>
    <m/>
    <m/>
    <x v="49"/>
    <m/>
    <s v="FC-008"/>
    <s v="MKWQ"/>
    <m/>
    <s v="P846145"/>
    <s v="P846145"/>
    <s v="N/A"/>
    <s v="not found"/>
    <s v="not found"/>
    <s v="not found"/>
    <x v="0"/>
    <x v="0"/>
    <x v="0"/>
    <s v="MC Changed, LUEP OK and MC changed back "/>
    <m/>
    <x v="2"/>
    <x v="1"/>
    <x v="0"/>
  </r>
  <r>
    <s v="ET18"/>
    <s v="TSMC"/>
    <x v="12"/>
    <n v="50"/>
    <n v="2450"/>
    <d v="2024-12-14T00:00:00"/>
    <d v="1899-12-30T20:31:10"/>
    <m/>
    <x v="38"/>
    <n v="2.5099999999999998"/>
    <s v="FC-025"/>
    <s v="STRG"/>
    <n v="53004620"/>
    <s v="P844211"/>
    <s v="P844211"/>
    <s v="Y"/>
    <s v="PC"/>
    <s v="[Structural Issue] TSMC_HC_RD mET18_SO53004620_CU_OT_Lot aborted by PG-48B4"/>
    <s v=""/>
    <x v="2"/>
    <x v="2"/>
    <x v="0"/>
    <s v="JHVD wk2502.4: updated FC-001 to FC-025, since the issue (and AIR) is FC-025 related"/>
    <m/>
    <x v="2"/>
    <x v="1"/>
    <x v="0"/>
  </r>
  <r>
    <s v="EZ60"/>
    <s v="Intel"/>
    <x v="34"/>
    <n v="50"/>
    <n v="2450"/>
    <d v="2024-12-13T00:00:00"/>
    <d v="1899-12-30T07:47:03"/>
    <m/>
    <x v="50"/>
    <n v="6.02"/>
    <s v="FC-056"/>
    <s v="STRG"/>
    <n v="53003972"/>
    <s v="P796308"/>
    <s v="P796308"/>
    <s v="Y"/>
    <s v="CS"/>
    <s v="[BL7.0] Synchronous start of chuck exchange delayed for the E2M chuck during LOT = MMDC error --&gt; CEX Brake"/>
    <s v="[intake 2431]_x000a_wk44.3: UID not executed yet. Eric vd Palen reviewing first slot, also tomorrow back in 12 o'clock. SP38 9k still possible if successfull wk45.5_x000a_wk42.3:  Combo patch planned, testing ongoing (pr23). 9k for SP38 current estimation wk44.5_x000a_wk40"/>
    <x v="2"/>
    <x v="2"/>
    <x v="0"/>
    <m/>
    <m/>
    <x v="2"/>
    <x v="1"/>
    <x v="0"/>
  </r>
  <r>
    <s v="EZ60"/>
    <s v="Intel"/>
    <x v="15"/>
    <n v="50"/>
    <n v="2450"/>
    <d v="2024-12-12T00:00:00"/>
    <m/>
    <d v="1899-12-30T19:18:24"/>
    <x v="51"/>
    <n v="0.83"/>
    <s v="FC-001"/>
    <s v="SDLG "/>
    <n v="52909531"/>
    <s v="P814182"/>
    <s v="P814182"/>
    <s v="Y"/>
    <s v="WH"/>
    <s v="[Pr20] LOT fails to restart after autorecovery because of WH communication"/>
    <s v="[intake 2438]_x000a_wk49.5: 9k SP38 HOI wk50.5. Customer release wk51 _x000a_wk49.2: Still likely to be on track for QBL this week  _x000a_wk48.5: Comeback on 49.2,. Good chance to make it on time _x000a_wk47.2: Thijs to check if solution can be delivered in wk50. _x000a_wk46.5: EDS o"/>
    <x v="2"/>
    <x v="2"/>
    <x v="0"/>
    <m/>
    <m/>
    <x v="2"/>
    <x v="1"/>
    <x v="0"/>
  </r>
  <r>
    <s v="EZ60"/>
    <s v="Intel"/>
    <x v="15"/>
    <n v="50"/>
    <n v="2450"/>
    <d v="2024-12-12T00:00:00"/>
    <d v="1899-12-30T12:01:53"/>
    <d v="1899-12-30T12:36:00"/>
    <x v="51"/>
    <n v="7.03"/>
    <s v="FC-001"/>
    <s v="SDLG "/>
    <n v="53003115"/>
    <s v="P814182"/>
    <s v="P814182"/>
    <s v="Y"/>
    <s v="WH"/>
    <s v="[Pr20] LOT fails to restart after autorecovery because of WH communication"/>
    <s v="[intake 2438]_x000a_wk49.5: 9k SP38 HOI wk50.5. Customer release wk51 _x000a_wk49.2: Still likely to be on track for QBL this week  _x000a_wk48.5: Comeback on 49.2,. Good chance to make it on time _x000a_wk47.2: Thijs to check if solution can be delivered in wk50. _x000a_wk46.5: EDS o"/>
    <x v="2"/>
    <x v="2"/>
    <x v="0"/>
    <m/>
    <m/>
    <x v="2"/>
    <x v="1"/>
    <x v="0"/>
  </r>
  <r>
    <s v="ET18"/>
    <s v="TSMC"/>
    <x v="22"/>
    <n v="50"/>
    <n v="2450"/>
    <d v="2024-12-12T00:00:00"/>
    <d v="1899-12-30T23:11:51"/>
    <m/>
    <x v="52"/>
    <n v="5.31"/>
    <s v="FC-001"/>
    <s v="SDLG "/>
    <n v="52971340"/>
    <s v="P834708"/>
    <s v="P834708"/>
    <s v="Y"/>
    <s v="WH"/>
    <s v="Tracking - Lot Aborted by WE-0406 WH SUR HIPA error"/>
    <s v="[intake 2446]_x000a_wk50.2: Continue to monitor to ensure solution works_x000a_wk49.2: Being investigated and info coming in from LT."/>
    <x v="2"/>
    <x v="2"/>
    <x v="0"/>
    <m/>
    <m/>
    <x v="2"/>
    <x v="1"/>
    <x v="0"/>
  </r>
  <r>
    <s v="AJ99"/>
    <s v="SEC"/>
    <x v="35"/>
    <n v="50"/>
    <n v="2450"/>
    <d v="2024-12-11T00:00:00"/>
    <d v="1899-12-30T18:06:00"/>
    <m/>
    <x v="53"/>
    <n v="134"/>
    <s v="FC-003"/>
    <s v="JHVD "/>
    <n v="53001695"/>
    <s v="P843723"/>
    <s v="P843723"/>
    <s v="Y"/>
    <s v="WS"/>
    <s v="During the EPIN YOKE Swap, Found the short bolt on LOS Assy nearby Z3 Coil"/>
    <s v=""/>
    <x v="2"/>
    <x v="2"/>
    <x v="0"/>
    <s v="Also P843048 is related with that issue"/>
    <m/>
    <x v="2"/>
    <x v="1"/>
    <x v="1"/>
  </r>
  <r>
    <s v="AJ99"/>
    <s v="SEC"/>
    <x v="20"/>
    <n v="50"/>
    <n v="2450"/>
    <d v="2024-12-11T00:00:00"/>
    <d v="1899-12-30T01:27:00"/>
    <m/>
    <x v="54"/>
    <n v="1"/>
    <s v="FC-071"/>
    <s v="JMTP "/>
    <n v="52992486"/>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0"/>
    <x v="0"/>
    <m/>
    <m/>
    <x v="2"/>
    <x v="1"/>
    <x v="0"/>
  </r>
  <r>
    <s v="AJ99"/>
    <s v="SEC"/>
    <x v="36"/>
    <n v="50"/>
    <n v="2450"/>
    <d v="2024-12-10T00:00:00"/>
    <d v="1899-12-30T16:42:00"/>
    <m/>
    <x v="55"/>
    <n v="2"/>
    <s v="FC-050"/>
    <s v="JHVD "/>
    <n v="52995024"/>
    <s v="P840399"/>
    <s v="P840399"/>
    <s v="Y"/>
    <s v="WC"/>
    <s v="EVCDMI failed WT-1204 error"/>
    <s v=""/>
    <x v="0"/>
    <x v="0"/>
    <x v="0"/>
    <s v="SD"/>
    <m/>
    <x v="2"/>
    <x v="1"/>
    <x v="0"/>
  </r>
  <r>
    <s v="ET18"/>
    <s v="TSMC"/>
    <x v="9"/>
    <n v="50"/>
    <n v="2450"/>
    <d v="2024-12-09T00:00:00"/>
    <d v="1899-12-30T19:20:27"/>
    <m/>
    <x v="56"/>
    <n v="4"/>
    <s v="FC-065"/>
    <s v="MKWQ"/>
    <n v="52999853"/>
    <s v="P844884"/>
    <s v="P844884"/>
    <s v="Y"/>
    <s v="ME"/>
    <s v="mET18 MTBF - CN-00C0   KJDR Closed connection due to read timeout"/>
    <s v=""/>
    <x v="2"/>
    <x v="2"/>
    <x v="0"/>
    <s v="DTOM: updated the AIR, the one used was from 2014…."/>
    <m/>
    <x v="2"/>
    <x v="1"/>
    <x v="0"/>
  </r>
  <r>
    <s v="ET18"/>
    <s v="TSMC"/>
    <x v="37"/>
    <n v="50"/>
    <n v="2450"/>
    <d v="2024-12-09T00:00:00"/>
    <d v="1899-12-30T04:49:08"/>
    <m/>
    <x v="57"/>
    <n v="0.3"/>
    <s v="FC-002"/>
    <s v="ANHG"/>
    <n v="52969044"/>
    <s v="P844827"/>
    <s v="P844827"/>
    <s v="Y"/>
    <s v="RH"/>
    <s v="[ET18] - RH LL Timeout error RU-093A "/>
    <s v=""/>
    <x v="0"/>
    <x v="2"/>
    <x v="0"/>
    <s v="It doesn't cause a lot abort."/>
    <m/>
    <x v="2"/>
    <x v="1"/>
    <x v="0"/>
  </r>
  <r>
    <s v="EZ60"/>
    <s v="Intel"/>
    <x v="38"/>
    <n v="49"/>
    <n v="2449"/>
    <d v="2024-12-08T00:00:00"/>
    <d v="1899-12-30T15:20:39"/>
    <d v="1899-12-30T16:16:37"/>
    <x v="58"/>
    <m/>
    <s v="FC-007"/>
    <s v="MKWQ"/>
    <n v="52972521"/>
    <s v="P719706"/>
    <s v="P719706"/>
    <s v="Y"/>
    <s v="ME"/>
    <s v="[Pr20][SCN] LZ-2028 error is occuring very often "/>
    <s v="[intake 2449]"/>
    <x v="2"/>
    <x v="2"/>
    <x v="0"/>
    <m/>
    <m/>
    <x v="2"/>
    <x v="1"/>
    <x v="0"/>
  </r>
  <r>
    <s v="EZ60"/>
    <s v="Intel"/>
    <x v="15"/>
    <n v="49"/>
    <n v="2449"/>
    <d v="2024-12-08T00:00:00"/>
    <d v="1899-12-30T15:49:55"/>
    <m/>
    <x v="59"/>
    <n v="1"/>
    <s v="FC-001"/>
    <s v="SDLG "/>
    <m/>
    <s v="P814182"/>
    <s v="P814182"/>
    <s v="Y"/>
    <s v="WH"/>
    <s v="[Pr20] LOT fails to restart after autorecovery because of WH communication"/>
    <s v="[intake 2438]_x000a_wk49.5: 9k SP38 HOI wk50.5. Customer release wk51 _x000a_wk49.2: Still likely to be on track for QBL this week  _x000a_wk48.5: Comeback on 49.2,. Good chance to make it on time _x000a_wk47.2: Thijs to check if solution can be delivered in wk50. _x000a_wk46.5: EDS o"/>
    <x v="0"/>
    <x v="0"/>
    <x v="0"/>
    <m/>
    <m/>
    <x v="2"/>
    <x v="1"/>
    <x v="0"/>
  </r>
  <r>
    <s v="AJ99"/>
    <s v="SEC"/>
    <x v="20"/>
    <n v="49"/>
    <n v="2449"/>
    <d v="2024-12-08T00:00:00"/>
    <d v="1899-12-30T09:13:00"/>
    <m/>
    <x v="60"/>
    <n v="2.39"/>
    <s v="FC-071"/>
    <s v="JMTP "/>
    <n v="52992486"/>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2"/>
    <x v="1"/>
    <x v="0"/>
  </r>
  <r>
    <s v="AJ99"/>
    <s v="SEC"/>
    <x v="20"/>
    <n v="49"/>
    <n v="2449"/>
    <d v="2024-12-07T00:00:00"/>
    <d v="1899-12-30T09:13:00"/>
    <d v="1899-12-30T09:13:00"/>
    <x v="60"/>
    <n v="1.2"/>
    <s v="FC-071"/>
    <s v="JMTP "/>
    <n v="52992486"/>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2"/>
    <x v="1"/>
    <x v="0"/>
  </r>
  <r>
    <s v="ET18"/>
    <s v="TSMC"/>
    <x v="39"/>
    <n v="49"/>
    <n v="2449"/>
    <d v="2024-12-06T00:00:00"/>
    <m/>
    <d v="1899-12-30T14:00:00"/>
    <x v="61"/>
    <n v="23.07"/>
    <s v="FC-026"/>
    <s v="not found"/>
    <n v="52997492"/>
    <s v="P766867"/>
    <s v="P766867"/>
    <s v="Y"/>
    <s v="EL"/>
    <s v="[FDQ only] FDI/FDQ module failure/error leads to long down time"/>
    <s v="[intake 2450]_x000a_wk51.3: FDQ issue RC is related to Hw getting currupt. Hw to be made available end of 25Q1. New Hw to be rolled out Retrofit on failure"/>
    <x v="0"/>
    <x v="2"/>
    <x v="0"/>
    <m/>
    <m/>
    <x v="2"/>
    <x v="1"/>
    <x v="1"/>
  </r>
  <r>
    <s v="EZ60"/>
    <s v="Intel"/>
    <x v="40"/>
    <n v="49"/>
    <n v="2449"/>
    <d v="2024-12-06T00:00:00"/>
    <m/>
    <d v="1899-12-30T09:41:44"/>
    <x v="62"/>
    <n v="2"/>
    <m/>
    <s v="no FC filled"/>
    <n v="52998492"/>
    <s v="P552360"/>
    <s v="P552360"/>
    <s v="Y"/>
    <s v="FT"/>
    <s v="HIRG: TSA_VLV6 Internal failures"/>
    <s v=""/>
    <x v="2"/>
    <x v="2"/>
    <x v="0"/>
    <s v="Valve 6 needs to be swapped due to suspected leaks. Part reliability issue"/>
    <m/>
    <x v="2"/>
    <x v="1"/>
    <x v="0"/>
  </r>
  <r>
    <s v="AJ99"/>
    <s v="SEC"/>
    <x v="20"/>
    <n v="49"/>
    <n v="2449"/>
    <d v="2024-12-06T00:00:00"/>
    <d v="1899-12-30T09:17:00"/>
    <d v="1899-12-30T09:17:18"/>
    <x v="54"/>
    <n v="0.5"/>
    <s v="FC-071"/>
    <s v="JMTP "/>
    <s v="52992486 "/>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2"/>
    <x v="1"/>
    <x v="0"/>
  </r>
  <r>
    <s v="AJ99"/>
    <s v="SEC"/>
    <x v="30"/>
    <n v="49"/>
    <n v="2449"/>
    <d v="2024-12-06T00:00:00"/>
    <d v="1899-12-30T12:21:00"/>
    <m/>
    <x v="63"/>
    <n v="0.6"/>
    <s v="FC-003"/>
    <s v="JHVD "/>
    <n v="52997266"/>
    <s v="P724863"/>
    <s v="P724863"/>
    <s v="Y"/>
    <s v="WS"/>
    <s v="LCW Pressure sensor P1&amp;P2 spike issue "/>
    <s v="[intake 2343]_x000a_wk44.3: Delayed dure to SSB5 work. External relase wk50.3_x000a_wk40.3:On track. Internal release wk47.4 12:00, wk48.3 external release"/>
    <x v="0"/>
    <x v="0"/>
    <x v="0"/>
    <m/>
    <m/>
    <x v="2"/>
    <x v="1"/>
    <x v="0"/>
  </r>
  <r>
    <s v="EZ60"/>
    <s v="Intel"/>
    <x v="34"/>
    <n v="49"/>
    <n v="2449"/>
    <d v="2024-12-05T00:00:00"/>
    <d v="1899-12-30T09:45:32"/>
    <d v="1899-12-30T10:23:47"/>
    <x v="64"/>
    <n v="0.5"/>
    <s v="FC-056"/>
    <s v="STRG"/>
    <n v="52996985"/>
    <s v="P796308"/>
    <s v="P796308"/>
    <s v="Y"/>
    <s v="CS"/>
    <s v="[BL7.0] Synchronous start of chuck exchange delayed for the E2M chuck during LOT = MMDC error --&gt; CEX Brake"/>
    <s v="[intake 2431]_x000a_wk44.3: UID not executed yet. Eric vd Palen reviewing first slot, also tomorrow back in 12 o'clock. SP38 9k still possible if successfull wk45.5_x000a_wk42.3:  Combo patch planned, testing ongoing (pr23). 9k for SP38 current estimation wk44.5_x000a_wk40"/>
    <x v="2"/>
    <x v="2"/>
    <x v="0"/>
    <m/>
    <m/>
    <x v="2"/>
    <x v="1"/>
    <x v="0"/>
  </r>
  <r>
    <s v="AJ99"/>
    <s v="SEC"/>
    <x v="0"/>
    <n v="49"/>
    <n v="2449"/>
    <d v="2024-12-05T00:00:00"/>
    <d v="1899-12-30T11:10:00"/>
    <d v="1899-12-30T09:19:36"/>
    <x v="65"/>
    <n v="2.68"/>
    <s v="FC-028"/>
    <s v="not found"/>
    <n v="52996225"/>
    <s v="P817595"/>
    <s v="P817595"/>
    <s v="Y"/>
    <s v="MA"/>
    <s v="Cannot start/stop lot queue due to &quot;Lot operation&quot; window hangup"/>
    <s v="[intake 2447]"/>
    <x v="0"/>
    <x v="0"/>
    <x v="0"/>
    <m/>
    <m/>
    <x v="2"/>
    <x v="1"/>
    <x v="0"/>
  </r>
  <r>
    <s v="AJ99"/>
    <s v="SEC"/>
    <x v="16"/>
    <n v="49"/>
    <n v="2449"/>
    <d v="2024-12-05T00:00:00"/>
    <m/>
    <d v="1899-12-30T09:19:36"/>
    <x v="66"/>
    <n v="1.01"/>
    <s v="FC-076"/>
    <s v="KNGN"/>
    <n v="52997007"/>
    <s v="P842740"/>
    <s v="P842740"/>
    <s v="Y"/>
    <s v="BD"/>
    <s v="[AJ99] - PDA-0026 - SLRS Warmup failed due to invalid RBD Signal"/>
    <s v=""/>
    <x v="0"/>
    <x v="2"/>
    <x v="0"/>
    <m/>
    <m/>
    <x v="2"/>
    <x v="1"/>
    <x v="0"/>
  </r>
  <r>
    <s v="ET18"/>
    <s v="TSMC"/>
    <x v="5"/>
    <n v="49"/>
    <n v="2449"/>
    <d v="2024-12-05T00:00:00"/>
    <m/>
    <d v="1899-12-30T08:48:36"/>
    <x v="67"/>
    <n v="18.260000000000002"/>
    <s v="FC-001"/>
    <s v="SDLG "/>
    <n v="52939958"/>
    <s v="P814182"/>
    <s v="P814182"/>
    <s v="Y"/>
    <s v="WH"/>
    <s v="[Pr20] LOT fails to restart after autorecovery because of WH communication"/>
    <s v="[intake 2438]_x000a_wk49.5: 9k SP38 HOI wk50.5. Customer release wk51 _x000a_wk49.2: Still likely to be on track for QBL this week  _x000a_wk48.5: Comeback on 49.2,. Good chance to make it on time _x000a_wk47.2: Thijs to check if solution can be delivered in wk50. _x000a_wk46.5: EDS o"/>
    <x v="2"/>
    <x v="2"/>
    <x v="0"/>
    <s v="SDLG: seems no WH deadlock, wafers could move forward but no plan is active to load/unload chucks.  RCA ongoing via P837527, P834175"/>
    <m/>
    <x v="2"/>
    <x v="1"/>
    <x v="1"/>
  </r>
  <r>
    <s v="AJ99"/>
    <s v="SEC"/>
    <x v="20"/>
    <n v="49"/>
    <n v="2449"/>
    <d v="2024-12-05T00:00:00"/>
    <d v="1899-12-30T02:19:00"/>
    <d v="1899-12-30T02:19:18"/>
    <x v="60"/>
    <n v="1.1000000000000001"/>
    <s v="FC-071"/>
    <s v="JMTP "/>
    <n v="52992486"/>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2"/>
    <x v="1"/>
    <x v="0"/>
  </r>
  <r>
    <s v="ET18"/>
    <s v="TSMC"/>
    <x v="41"/>
    <n v="49"/>
    <n v="2449"/>
    <d v="2024-12-05T00:00:00"/>
    <m/>
    <m/>
    <x v="68"/>
    <m/>
    <s v="FC-001"/>
    <s v="SDLG "/>
    <n v="52996562"/>
    <s v="P842685"/>
    <s v="P842685"/>
    <s v="N"/>
    <s v="ME"/>
    <s v="KDWA driver failed - Investigation required "/>
    <s v="[intake 2450]_x000a_wk51.3: Stack traces requested to LT, continue to monitor till next hit_x000a_Wk51: New issue. Intake ongoing"/>
    <x v="0"/>
    <x v="0"/>
    <x v="0"/>
    <s v="MFSX-wk2502.3: Found three AIRs linked to this: P842685, P846900 and P847054. I haven't checked them yet!"/>
    <m/>
    <x v="2"/>
    <x v="1"/>
    <x v="0"/>
  </r>
  <r>
    <s v="AJ99"/>
    <s v="SEC"/>
    <x v="36"/>
    <n v="49"/>
    <n v="2449"/>
    <d v="2024-12-04T00:00:00"/>
    <d v="1899-12-30T08:15:36"/>
    <m/>
    <x v="55"/>
    <m/>
    <s v="FC-050"/>
    <s v="JHVD "/>
    <n v="52995024"/>
    <s v="P840399"/>
    <s v="P840399"/>
    <s v="Y"/>
    <s v="WC"/>
    <s v="EVCDMI failed WT-1204 error"/>
    <s v=""/>
    <x v="0"/>
    <x v="0"/>
    <x v="0"/>
    <s v="ER Traces added for NJ-FD46, WT-1204​"/>
    <m/>
    <x v="2"/>
    <x v="1"/>
    <x v="0"/>
  </r>
  <r>
    <s v="AJ99"/>
    <s v="SEC"/>
    <x v="42"/>
    <n v="49"/>
    <n v="2449"/>
    <d v="2024-12-03T00:00:00"/>
    <d v="1899-12-30T20:00:14"/>
    <d v="1899-12-30T20:00:21"/>
    <x v="69"/>
    <n v="0.22"/>
    <s v="FC-002"/>
    <s v="ANHG"/>
    <m/>
    <s v="P842734"/>
    <s v="P842734"/>
    <s v="Y"/>
    <s v="RH"/>
    <s v="[AJ99] - Lot abort due to RH-98AE - RH Operation Failed"/>
    <s v=""/>
    <x v="2"/>
    <x v="2"/>
    <x v="0"/>
    <m/>
    <m/>
    <x v="2"/>
    <x v="1"/>
    <x v="0"/>
  </r>
  <r>
    <s v="ET18"/>
    <s v="TSMC"/>
    <x v="23"/>
    <n v="49"/>
    <n v="2449"/>
    <d v="2024-12-03T00:00:00"/>
    <d v="1899-12-30T18:45:43"/>
    <d v="1899-12-30T18:50:42"/>
    <x v="28"/>
    <n v="1.41"/>
    <s v="FC-001"/>
    <s v="SDLG "/>
    <n v="52994678"/>
    <s v="P805784"/>
    <s v="P805784"/>
    <s v="Y"/>
    <s v="WH"/>
    <s v="LOT recovery fails on SUR error WX-0415 Move not allowed with brake applied to axis. Move not allowed with brake applied to Z. "/>
    <s v="[Intake 2421]_x000a_wk48.5: Linked to driver functionality which needs larger work to be done. Needs a plan update_x000a_wk47.3: unlikely to make wk50_x000a_wk33.5:_x000a_Umbrella AIR P7849549 (Replaced in reliab ambition list with AIRs listed below:_x000a__x000a_P805784 --&gt; Unclear single "/>
    <x v="2"/>
    <x v="2"/>
    <x v="0"/>
    <s v="JHVD: Changed AIR from P781151 to P805784"/>
    <m/>
    <x v="2"/>
    <x v="1"/>
    <x v="0"/>
  </r>
  <r>
    <s v="AJ99"/>
    <s v="SEC"/>
    <x v="15"/>
    <n v="49"/>
    <n v="2449"/>
    <d v="2024-12-03T00:00:00"/>
    <d v="1899-12-30T18:34:07"/>
    <d v="1899-12-30T18:29:47"/>
    <x v="70"/>
    <n v="0.13"/>
    <s v="FC-001"/>
    <s v="SDLG "/>
    <s v="52971211​"/>
    <s v="P821654"/>
    <s v="P821654"/>
    <s v="Y"/>
    <s v="WH"/>
    <s v="[ET18] Wafer stuck at TWINSCAN and lot abort triggered after track stops for 5 mins"/>
    <s v="[intake 2442]_x000a_wk47.2: On track for HOI 47.4"/>
    <x v="2"/>
    <x v="2"/>
    <x v="0"/>
    <m/>
    <m/>
    <x v="2"/>
    <x v="1"/>
    <x v="0"/>
  </r>
  <r>
    <s v="AJ99"/>
    <s v="SEC"/>
    <x v="43"/>
    <n v="49"/>
    <n v="2449"/>
    <d v="2024-12-03T00:00:00"/>
    <d v="1899-12-30T14:29:27"/>
    <d v="1899-12-30T15:06:21"/>
    <x v="71"/>
    <n v="0.28999999999999998"/>
    <s v="FC-001"/>
    <s v="SDLG "/>
    <n v="52994351"/>
    <s v="P821654"/>
    <s v="P821654"/>
    <s v="N/A"/>
    <s v="WH"/>
    <s v="[ET18] Wafer stuck at TWINSCAN and lot abort triggered after track stops for 5 mins"/>
    <s v="[intake 2442]_x000a_wk47.2: On track for HOI 47.4"/>
    <x v="0"/>
    <x v="0"/>
    <x v="0"/>
    <m/>
    <m/>
    <x v="2"/>
    <x v="1"/>
    <x v="0"/>
  </r>
  <r>
    <s v="AJ99"/>
    <s v="SEC"/>
    <x v="15"/>
    <n v="49"/>
    <n v="2449"/>
    <d v="2024-12-03T00:00:00"/>
    <m/>
    <d v="1899-12-30T15:06:21"/>
    <x v="72"/>
    <n v="0.23"/>
    <s v="FC-001"/>
    <s v="SDLG "/>
    <n v="52971211"/>
    <s v="P821654"/>
    <s v="P821654"/>
    <s v="Y"/>
    <s v="WH"/>
    <s v="[ET18] Wafer stuck at TWINSCAN and lot abort triggered after track stops for 5 mins"/>
    <s v="[intake 2442]_x000a_wk47.2: On track for HOI 47.4"/>
    <x v="2"/>
    <x v="2"/>
    <x v="0"/>
    <m/>
    <m/>
    <x v="2"/>
    <x v="1"/>
    <x v="0"/>
  </r>
  <r>
    <s v="ET18"/>
    <s v="TSMC"/>
    <x v="20"/>
    <n v="49"/>
    <n v="2449"/>
    <d v="2024-12-03T00:00:00"/>
    <m/>
    <d v="1899-12-30T14:16:03"/>
    <x v="73"/>
    <n v="0.92"/>
    <s v="FC-071"/>
    <s v="JMTP "/>
    <n v="52994950"/>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m/>
    <m/>
    <x v="2"/>
    <x v="1"/>
    <x v="0"/>
  </r>
  <r>
    <s v="AJ99"/>
    <s v="SEC"/>
    <x v="20"/>
    <n v="49"/>
    <n v="2449"/>
    <d v="2024-12-03T00:00:00"/>
    <d v="1899-12-30T09:13:00"/>
    <d v="1899-12-30T09:12:31"/>
    <x v="60"/>
    <n v="1.39"/>
    <s v="FC-071"/>
    <s v="JMTP "/>
    <n v="52992486"/>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2"/>
    <x v="1"/>
    <x v="0"/>
  </r>
  <r>
    <s v="ET18"/>
    <s v="TSMC"/>
    <x v="44"/>
    <n v="49"/>
    <n v="2449"/>
    <d v="2024-12-03T00:00:00"/>
    <d v="1899-12-30T07:45:10"/>
    <d v="1899-12-30T08:09:52"/>
    <x v="74"/>
    <n v="0.62"/>
    <s v="FC-009"/>
    <s v="MKWQ"/>
    <n v="52994484"/>
    <s v="P836948"/>
    <s v="P836948"/>
    <s v="Y"/>
    <s v="MP"/>
    <s v="[NXE3800][TECALGO] DW-3425/DW-343B: Production Wafer OverDose after Die Repair failed"/>
    <s v="[intake 2450]_x000a_wk51.3: Solution in SPA141v3&amp; SPA140 in wk2503 HOI SWI.  _x000a_wk50.3: Request to make sure solution is ready for release to customer in wk2504"/>
    <x v="0"/>
    <x v="2"/>
    <x v="0"/>
    <s v="DGA Swap criteria met, SAMO changed AIR issue to leading (was: P836914)"/>
    <m/>
    <x v="2"/>
    <x v="1"/>
    <x v="0"/>
  </r>
  <r>
    <s v="ET18"/>
    <s v="TSMC"/>
    <x v="20"/>
    <n v="48"/>
    <n v="2448"/>
    <d v="2024-12-01T00:00:00"/>
    <m/>
    <d v="1899-12-30T10:15:27"/>
    <x v="44"/>
    <n v="0.43"/>
    <s v="FC-071"/>
    <s v="JMTP "/>
    <n v="52952518"/>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m/>
    <m/>
    <x v="0"/>
    <x v="3"/>
    <x v="0"/>
  </r>
  <r>
    <s v="ET18"/>
    <s v="TSMC"/>
    <x v="22"/>
    <n v="48"/>
    <n v="2448"/>
    <d v="2024-12-01T00:00:00"/>
    <m/>
    <d v="1899-12-30T01:44:19"/>
    <x v="75"/>
    <n v="4.7300000000000004"/>
    <s v="FC-001"/>
    <s v="SDLG "/>
    <n v="52971340"/>
    <s v="P834708"/>
    <s v="P834708"/>
    <s v="Y"/>
    <s v="WH"/>
    <s v="Tracking - Lot Aborted by WE-0406 WH SUR HIPA error"/>
    <s v="[intake 2446]_x000a_wk50.2: Continue to monitor to ensure solution works_x000a_wk49.2: Being investigated and info coming in from LT."/>
    <x v="0"/>
    <x v="2"/>
    <x v="0"/>
    <s v="SDLG: Intake was done for this issue during XLD meeting. Detailed info can be found here: https://asml.sharepoint.com/:p:/r/sites/EUVNPIDailyFieldStatusCall/_layouts/15/Doc.aspx?sourcedoc=%7B50E2DC02-B54A-435B-82D1-8F4DA8AADD70%7D&amp;file=D020_ET18_SO52971340_SD_OR_lot%20aborted%20by%20WE-0406%20(SUR%20HIPA).pptx&amp;action=edit&amp;mobileredirect=true"/>
    <m/>
    <x v="1"/>
    <x v="4"/>
    <x v="0"/>
  </r>
  <r>
    <s v="AJ99"/>
    <s v="SEC"/>
    <x v="20"/>
    <n v="48"/>
    <n v="2448"/>
    <d v="2024-12-01T00:00:00"/>
    <d v="1899-12-30T14:16:00"/>
    <m/>
    <x v="60"/>
    <n v="7.63"/>
    <s v="FC-071"/>
    <s v="JMTP "/>
    <n v="52992486"/>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s v="SAMO: Was linked to P829275 but changed to known IS issue P825866"/>
    <m/>
    <x v="2"/>
    <x v="1"/>
    <x v="0"/>
  </r>
  <r>
    <s v="AJ99"/>
    <s v="SEC"/>
    <x v="45"/>
    <n v="48"/>
    <n v="2448"/>
    <d v="2024-12-01T00:00:00"/>
    <d v="1899-12-30T12:43:00"/>
    <m/>
    <x v="76"/>
    <n v="1.5"/>
    <s v="FC-027"/>
    <s v="STRG"/>
    <n v="52958596"/>
    <s v="P827649"/>
    <s v="P827649"/>
    <s v="Y"/>
    <s v="ME"/>
    <s v="[PH8585] KGHDMI tasks died unexpectedly"/>
    <s v="[intake 2443]_x000a_wk2443.2 2 hits seen at SEC and 1 at Intel. This issue is seen AFTER installing SP36 with P734065 fixes. Traces now running on mAJ99 to gather data_x000a_Wk46: RCA ongoing_x000a_wk46.3: Solutoin direction still not clear. Monitor for next hit_x000a_wk47.3: Hi"/>
    <x v="0"/>
    <x v="0"/>
    <x v="0"/>
    <m/>
    <m/>
    <x v="2"/>
    <x v="1"/>
    <x v="0"/>
  </r>
  <r>
    <s v="EZ60"/>
    <s v="Intel"/>
    <x v="46"/>
    <n v="48"/>
    <n v="2448"/>
    <d v="2024-11-30T00:00:00"/>
    <m/>
    <d v="1899-12-30T18:05:50"/>
    <x v="77"/>
    <n v="2.5"/>
    <s v="FC-024"/>
    <s v="STRG"/>
    <n v="52991998"/>
    <s v="P840410"/>
    <s v="P840410"/>
    <s v="Y"/>
    <s v="CS"/>
    <s v="[NXE:3800] Stacktrace is empty for all processes on SCH"/>
    <s v="[intake 2449]"/>
    <x v="2"/>
    <x v="2"/>
    <x v="0"/>
    <m/>
    <m/>
    <x v="2"/>
    <x v="1"/>
    <x v="0"/>
  </r>
  <r>
    <s v="EZ60"/>
    <s v="Intel"/>
    <x v="30"/>
    <n v="48"/>
    <n v="2448"/>
    <d v="2024-11-29T00:00:00"/>
    <m/>
    <d v="1899-12-30T22:52:31"/>
    <x v="78"/>
    <n v="0.75"/>
    <s v="FC-003"/>
    <s v="JHVD "/>
    <n v="52992345"/>
    <s v="P796308"/>
    <s v="P796308"/>
    <s v="Y"/>
    <s v="CS"/>
    <s v="[BL7.0] Synchronous start of chuck exchange delayed for the E2M chuck during LOT = MMDC error --&gt; CEX Brake"/>
    <s v="[intake 2431]_x000a_wk44.3: UID not executed yet. Eric vd Palen reviewing first slot, also tomorrow back in 12 o'clock. SP38 9k still possible if successfull wk45.5_x000a_wk42.3:  Combo patch planned, testing ongoing (pr23). 9k for SP38 current estimation wk44.5_x000a_wk40"/>
    <x v="2"/>
    <x v="2"/>
    <x v="0"/>
    <m/>
    <m/>
    <x v="2"/>
    <x v="1"/>
    <x v="0"/>
  </r>
  <r>
    <s v="ET18"/>
    <s v="TSMC"/>
    <x v="32"/>
    <n v="48"/>
    <n v="2448"/>
    <d v="2024-11-29T00:00:00"/>
    <d v="1899-12-30T19:52:00"/>
    <d v="1899-12-30T21:01:10"/>
    <x v="79"/>
    <n v="2.66"/>
    <s v="FC-001"/>
    <s v="SDLG "/>
    <n v="52992004"/>
    <s v="P841602"/>
    <s v="P841602"/>
    <s v="Y"/>
    <s v="WH"/>
    <s v="mET18_SO52992004_Lot abort by WH-252E"/>
    <s v="[intake 2450]"/>
    <x v="2"/>
    <x v="2"/>
    <x v="0"/>
    <m/>
    <m/>
    <x v="0"/>
    <x v="0"/>
    <x v="0"/>
  </r>
  <r>
    <s v="AJ99"/>
    <s v="SEC"/>
    <x v="47"/>
    <n v="48"/>
    <n v="2448"/>
    <d v="2024-11-26T00:00:00"/>
    <d v="1899-12-30T22:19:00"/>
    <m/>
    <x v="80"/>
    <n v="1.17"/>
    <s v="FC-009"/>
    <s v="MKWQ"/>
    <n v="52988571"/>
    <s v="P839236"/>
    <s v="P839236"/>
    <s v="Y"/>
    <s v="DC"/>
    <s v="Lot aborted with BP-2801 (invalid energy profile provided)"/>
    <s v="[intake 2448]"/>
    <x v="2"/>
    <x v="2"/>
    <x v="0"/>
    <m/>
    <m/>
    <x v="2"/>
    <x v="1"/>
    <x v="0"/>
  </r>
  <r>
    <s v="ET18"/>
    <s v="TSMC"/>
    <x v="48"/>
    <n v="48"/>
    <n v="2448"/>
    <d v="2024-11-25T00:00:00"/>
    <m/>
    <d v="1899-12-30T12:46:45"/>
    <x v="81"/>
    <n v="0.43"/>
    <s v="FC-071"/>
    <s v="JMTP "/>
    <n v="52940162"/>
    <s v="P844948"/>
    <s v="P844948"/>
    <s v="Y"/>
    <s v="BT"/>
    <s v="mET18 LAW-1002 ; 3 lot aborts - fixed with RFg swap"/>
    <s v=""/>
    <x v="2"/>
    <x v="2"/>
    <x v="0"/>
    <m/>
    <m/>
    <x v="2"/>
    <x v="1"/>
    <x v="0"/>
  </r>
  <r>
    <s v="ET18"/>
    <s v="TSMC"/>
    <x v="22"/>
    <n v="47"/>
    <n v="2447"/>
    <d v="2024-11-24T00:00:00"/>
    <m/>
    <d v="1899-12-30T04:04:06"/>
    <x v="75"/>
    <n v="1.02"/>
    <s v="FC-001"/>
    <s v="SDLG "/>
    <n v="52971340"/>
    <s v="P834708"/>
    <s v="P834708"/>
    <s v="Y"/>
    <s v="WH"/>
    <s v="Tracking - Lot Aborted by WE-0406 WH SUR HIPA error"/>
    <s v="[intake 2446]_x000a_wk50.2: Continue to monitor to ensure solution works_x000a_wk49.2: Being investigated and info coming in from LT."/>
    <x v="2"/>
    <x v="2"/>
    <x v="0"/>
    <s v="SDLG: Intake was done for this issue during XLD meeting. Detailed info can be found here: https://asml.sharepoint.com/:p:/r/sites/EUVNPIDailyFieldStatusCall/_layouts/15/Doc.aspx?sourcedoc=%7B50E2DC02-B54A-435B-82D1-8F4DA8AADD70%7D&amp;file=D020_ET18_SO52971340_SD_OR_lot%20aborted%20by%20WE-0406%20(SUR%20HIPA).pptx&amp;action=edit&amp;mobileredirect=true"/>
    <m/>
    <x v="2"/>
    <x v="1"/>
    <x v="0"/>
  </r>
  <r>
    <s v="ET18"/>
    <s v="TSMC"/>
    <x v="22"/>
    <n v="47"/>
    <n v="2447"/>
    <d v="2024-11-24T00:00:00"/>
    <m/>
    <d v="1899-12-30T02:24:03"/>
    <x v="75"/>
    <n v="0.38"/>
    <s v="FC-001"/>
    <s v="SDLG "/>
    <n v="52971340"/>
    <s v="P834708"/>
    <s v="P834708"/>
    <s v="Y"/>
    <s v="WH"/>
    <s v="Tracking - Lot Aborted by WE-0406 WH SUR HIPA error"/>
    <s v="[intake 2446]_x000a_wk50.2: Continue to monitor to ensure solution works_x000a_wk49.2: Being investigated and info coming in from LT."/>
    <x v="2"/>
    <x v="2"/>
    <x v="0"/>
    <s v="SDLG: Intake was done for this issue during XLD meeting. Detailed info can be found here: https://asml.sharepoint.com/:p:/r/sites/EUVNPIDailyFieldStatusCall/_layouts/15/Doc.aspx?sourcedoc=%7B50E2DC02-B54A-435B-82D1-8F4DA8AADD70%7D&amp;file=D020_ET18_SO52971340_SD_OR_lot%20aborted%20by%20WE-0406%20(SUR%20HIPA).pptx&amp;action=edit&amp;mobileredirect=true"/>
    <m/>
    <x v="2"/>
    <x v="1"/>
    <x v="0"/>
  </r>
  <r>
    <s v="ET18"/>
    <s v="TSMC"/>
    <x v="17"/>
    <n v="47"/>
    <n v="2447"/>
    <d v="2024-11-23T00:00:00"/>
    <d v="1899-12-30T18:29:06"/>
    <d v="1899-12-30T18:46:42"/>
    <x v="82"/>
    <n v="0.67"/>
    <s v="FC-071"/>
    <s v="JMTP "/>
    <n v="52940162"/>
    <s v="P551328"/>
    <s v="P551328"/>
    <s v="Y"/>
    <s v="BT"/>
    <s v="[CRF Install base] Improve reliab RFG2x6kW MK3.1.1 by new DCPS mosfet "/>
    <s v="[intake 2449]_x000a_wk51.3: RFG swap done at TSMC. Why did we need to have 3 LOT aborts before swap is done. Pending follow up from project"/>
    <x v="2"/>
    <x v="2"/>
    <x v="0"/>
    <s v="[STRG] WK48.2: Added relevant IB&amp;S air as it's a known issue. Also agreed on relevant air with Trumpf. (Same failuremode as LAW-1002) "/>
    <m/>
    <x v="3"/>
    <x v="4"/>
    <x v="0"/>
  </r>
  <r>
    <s v="AJ99"/>
    <s v="SEC"/>
    <x v="30"/>
    <n v="47"/>
    <n v="2447"/>
    <d v="2024-11-23T00:00:00"/>
    <d v="1899-12-30T04:25:00"/>
    <d v="1899-12-30T04:14:28"/>
    <x v="83"/>
    <n v="8.49"/>
    <s v="FC-001"/>
    <s v="SDLG "/>
    <n v="52985442"/>
    <s v="P829435"/>
    <s v="P829435"/>
    <s v="Y"/>
    <s v="WS"/>
    <s v="High Voltage Tracking Error resulting in HIPA swaps"/>
    <s v="[intake 2448]"/>
    <x v="0"/>
    <x v="2"/>
    <x v="0"/>
    <m/>
    <m/>
    <x v="0"/>
    <x v="4"/>
    <x v="0"/>
  </r>
  <r>
    <s v="AJ99"/>
    <s v="SEC"/>
    <x v="2"/>
    <n v="47"/>
    <n v="2447"/>
    <d v="2024-11-23T00:00:00"/>
    <d v="1899-12-30T10:20:00"/>
    <m/>
    <x v="84"/>
    <n v="1"/>
    <m/>
    <s v="no FC filled"/>
    <n v="52985570"/>
    <m/>
    <s v=""/>
    <s v="N/A"/>
    <s v="no AIR"/>
    <s v="no AIR"/>
    <s v="no AIR"/>
    <x v="0"/>
    <x v="0"/>
    <x v="0"/>
    <m/>
    <m/>
    <x v="0"/>
    <x v="0"/>
    <x v="0"/>
  </r>
  <r>
    <s v="AJ99"/>
    <s v="SEC"/>
    <x v="49"/>
    <n v="47"/>
    <n v="2447"/>
    <d v="2024-11-23T00:00:00"/>
    <d v="1899-12-30T07:00:00"/>
    <m/>
    <x v="85"/>
    <n v="1"/>
    <s v="FC-003"/>
    <s v="JHVD "/>
    <n v="52985470"/>
    <s v="P806968"/>
    <s v="P806968"/>
    <s v="Y"/>
    <s v="KW"/>
    <s v="[MPAC4] TSEL PHY has instable link after startup in mirrored mode"/>
    <s v="[intake 2438]_x000a_wk40.3: RC understood and fix under testing_x000a_delivery. New HSI needed, likely to be delivered in wk44 _x000a_wk39.3: fix defined for both TSEL issues, testing fix this week. If this wroks 5 boards need FW update (can be released in 1 HSI, but lot o"/>
    <x v="0"/>
    <x v="0"/>
    <x v="0"/>
    <m/>
    <m/>
    <x v="3"/>
    <x v="4"/>
    <x v="0"/>
  </r>
  <r>
    <s v="EZ60"/>
    <s v="Intel"/>
    <x v="50"/>
    <n v="47"/>
    <n v="2447"/>
    <d v="2024-11-22T00:00:00"/>
    <m/>
    <d v="1899-12-30T21:03:00"/>
    <x v="86"/>
    <n v="1.97"/>
    <s v="FC-001"/>
    <s v="SDLG "/>
    <n v="52985667"/>
    <m/>
    <s v=""/>
    <s v="N/A"/>
    <s v="n/a"/>
    <s v="n/a"/>
    <s v="n/a"/>
    <x v="0"/>
    <x v="2"/>
    <x v="0"/>
    <s v="SDLG: Local team performed LL1 defectivity OCAP 2B before the hit happened. After the hit, adjusted adjacent door so CH door is not blocked. "/>
    <s v="Y"/>
    <x v="4"/>
    <x v="5"/>
    <x v="0"/>
  </r>
  <r>
    <s v="EZ60"/>
    <s v="Intel"/>
    <x v="51"/>
    <n v="47"/>
    <n v="2447"/>
    <d v="2024-11-22T00:00:00"/>
    <d v="1899-12-30T11:20:37"/>
    <d v="1899-12-30T11:20:38"/>
    <x v="87"/>
    <n v="0.85"/>
    <s v="FC-027"/>
    <s v="STRG"/>
    <n v="52985419"/>
    <s v="P840649"/>
    <s v="P840649"/>
    <s v="Y"/>
    <s v="CS"/>
    <s v="[EZ60] - Lot recovery fail due to DN-0A13"/>
    <s v="[intake 2449]"/>
    <x v="2"/>
    <x v="2"/>
    <x v="0"/>
    <m/>
    <m/>
    <x v="0"/>
    <x v="0"/>
    <x v="0"/>
  </r>
  <r>
    <s v="EZ60"/>
    <s v="Intel"/>
    <x v="52"/>
    <n v="47"/>
    <n v="2447"/>
    <d v="2024-11-22T00:00:00"/>
    <d v="1899-12-30T08:22:30"/>
    <d v="1899-12-30T08:15:37"/>
    <x v="88"/>
    <n v="1.79"/>
    <s v="FC-031"/>
    <s v="MKWQ"/>
    <n v="52967188"/>
    <s v="P833511"/>
    <s v="P833511"/>
    <s v="Y"/>
    <s v="SP"/>
    <s v="[EZ60][3800] MI-FED5 causing LOT abort and subsequent init issues"/>
    <s v="[intake 2446]"/>
    <x v="2"/>
    <x v="2"/>
    <x v="0"/>
    <m/>
    <m/>
    <x v="0"/>
    <x v="6"/>
    <x v="0"/>
  </r>
  <r>
    <s v="EZ60"/>
    <s v="Intel"/>
    <x v="20"/>
    <n v="47"/>
    <n v="2447"/>
    <d v="2024-11-22T00:00:00"/>
    <d v="1899-12-30T00:05:20"/>
    <d v="1899-12-30T00:04:35"/>
    <x v="54"/>
    <n v="2"/>
    <s v="FC-071"/>
    <s v="JMTP "/>
    <m/>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0"/>
    <x v="4"/>
    <x v="0"/>
  </r>
  <r>
    <s v="AJ99"/>
    <s v="SEC"/>
    <x v="53"/>
    <n v="47"/>
    <n v="2447"/>
    <d v="2024-11-22T00:00:00"/>
    <d v="1899-12-30T09:56:50"/>
    <m/>
    <x v="65"/>
    <n v="1"/>
    <s v="FC-028"/>
    <s v="not found"/>
    <n v="52924086"/>
    <s v="P817595"/>
    <s v="P817595"/>
    <s v="Y"/>
    <s v="MA"/>
    <s v="Cannot start/stop lot queue due to &quot;Lot operation&quot; window hangup"/>
    <s v="[intake 2447]"/>
    <x v="0"/>
    <x v="0"/>
    <x v="0"/>
    <m/>
    <m/>
    <x v="0"/>
    <x v="0"/>
    <x v="0"/>
  </r>
  <r>
    <s v="ET18"/>
    <s v="TSMC"/>
    <x v="2"/>
    <n v="47"/>
    <n v="2447"/>
    <d v="2024-11-22T00:00:00"/>
    <m/>
    <m/>
    <x v="89"/>
    <n v="7.5"/>
    <m/>
    <s v="no FC filled"/>
    <n v="52985108"/>
    <m/>
    <s v=""/>
    <s v="N/A"/>
    <s v="no AIR"/>
    <s v="no AIR"/>
    <s v="no AIR"/>
    <x v="0"/>
    <x v="0"/>
    <x v="0"/>
    <m/>
    <m/>
    <x v="2"/>
    <x v="1"/>
    <x v="0"/>
  </r>
  <r>
    <s v="EZ60"/>
    <s v="Intel"/>
    <x v="45"/>
    <n v="47"/>
    <n v="2447"/>
    <d v="2024-11-21T00:00:00"/>
    <d v="1899-12-30T12:15:26"/>
    <d v="1899-12-30T13:56:22"/>
    <x v="90"/>
    <n v="4.43"/>
    <s v="FC-065"/>
    <s v="MKWQ"/>
    <n v="52984395"/>
    <s v="P660163"/>
    <s v="P660163"/>
    <s v="Y"/>
    <s v="ME"/>
    <s v="[MTBF 4.5hr] - CN-00C0 due to KEETMI timeout in message reception [WS Service] [LH 2.5; MTBI 0.04; AVA 0.02]"/>
    <s v="[intake 2448]"/>
    <x v="2"/>
    <x v="2"/>
    <x v="0"/>
    <m/>
    <m/>
    <x v="0"/>
    <x v="4"/>
    <x v="0"/>
  </r>
  <r>
    <s v="AJ99"/>
    <s v="SEC"/>
    <x v="53"/>
    <n v="47"/>
    <n v="2447"/>
    <d v="2024-11-21T00:00:00"/>
    <m/>
    <m/>
    <x v="65"/>
    <n v="1.2"/>
    <s v="FC-028"/>
    <s v="not found"/>
    <n v="52924086"/>
    <s v="P817595"/>
    <s v="P817595"/>
    <s v="Y"/>
    <s v="MA"/>
    <s v="Cannot start/stop lot queue due to &quot;Lot operation&quot; window hangup"/>
    <s v="[intake 2447]"/>
    <x v="0"/>
    <x v="0"/>
    <x v="0"/>
    <m/>
    <m/>
    <x v="0"/>
    <x v="4"/>
    <x v="0"/>
  </r>
  <r>
    <s v="EZ60"/>
    <s v="Intel"/>
    <x v="54"/>
    <n v="47"/>
    <n v="2447"/>
    <d v="2024-11-20T00:00:00"/>
    <m/>
    <d v="1899-12-30T16:12:00"/>
    <x v="91"/>
    <n v="1.43"/>
    <s v="FC-001"/>
    <s v="SDLG "/>
    <n v="52983399"/>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2"/>
    <x v="0"/>
    <m/>
    <m/>
    <x v="0"/>
    <x v="0"/>
    <x v="0"/>
  </r>
  <r>
    <s v="ET18"/>
    <s v="TSMC"/>
    <x v="55"/>
    <n v="47"/>
    <n v="2447"/>
    <d v="2024-11-20T00:00:00"/>
    <d v="1899-12-30T16:23:06"/>
    <d v="1899-12-30T11:59:06"/>
    <x v="92"/>
    <n v="1.6"/>
    <s v="FC-027"/>
    <s v="STRG"/>
    <n v="52983124"/>
    <s v="P840643"/>
    <s v="P840643"/>
    <s v="Y"/>
    <s v="MA"/>
    <s v="[NXE3800][ET18][SP3814c][ER-0000] ER-0000 QMSX task died unexpectedly due to LOQM busy state."/>
    <s v="[intake 2448]_x000a_wk51.3: P840410 is a pre-requisite for moving forward with your solution. Monitor for hits after P840410 is delivered"/>
    <x v="2"/>
    <x v="2"/>
    <x v="0"/>
    <m/>
    <m/>
    <x v="0"/>
    <x v="0"/>
    <x v="0"/>
  </r>
  <r>
    <s v="EZ60"/>
    <s v="Intel"/>
    <x v="20"/>
    <n v="47"/>
    <n v="2447"/>
    <d v="2024-11-20T00:00:00"/>
    <m/>
    <d v="1899-12-30T00:04:36"/>
    <x v="54"/>
    <n v="0.44"/>
    <s v="FC-009"/>
    <s v="MKWQ"/>
    <n v="52980875"/>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s v="SDLG: AR stuck was removed via reboot, the WDSH NOK with error WD-20EA(energy sensor and SL sensor related), re-assign FC to DC."/>
    <m/>
    <x v="3"/>
    <x v="4"/>
    <x v="0"/>
  </r>
  <r>
    <s v="ET18"/>
    <s v="TSMC"/>
    <x v="5"/>
    <n v="47"/>
    <n v="2447"/>
    <d v="2024-11-19T00:00:00"/>
    <d v="1899-12-30T21:18:13"/>
    <d v="1899-12-30T21:25:34"/>
    <x v="93"/>
    <n v="3.14"/>
    <s v="FC-001"/>
    <s v="SDLG "/>
    <n v="52939958"/>
    <s v="P834175"/>
    <s v="P834175"/>
    <s v="Y"/>
    <s v="WH"/>
    <s v="WH-19F3 Request of a wafer timed out. The next wafer was not provided from track."/>
    <s v="[intake 2447]_x000a_wk49.2: Request towards D&amp;E to add more details. Comeback on Friday _x000a_wk48.5: Data still being investigated"/>
    <x v="2"/>
    <x v="2"/>
    <x v="0"/>
    <s v="SDLG Wk02.5: Data collected, investigation leads to same RCs (track being slow, init fail) P814182._x000a__x000a_SDLG: cont. - re-init drivers, next hit collect track log &amp; WXRO log"/>
    <m/>
    <x v="0"/>
    <x v="4"/>
    <x v="0"/>
  </r>
  <r>
    <s v="AJ99"/>
    <s v="SEC"/>
    <x v="17"/>
    <n v="47"/>
    <n v="2447"/>
    <d v="2024-11-19T00:00:00"/>
    <d v="1899-12-30T11:18:16"/>
    <d v="1899-12-30T11:18:17"/>
    <x v="94"/>
    <n v="2.35"/>
    <s v="FC-071"/>
    <s v="JMTP "/>
    <n v="52981528"/>
    <s v="P836587"/>
    <s v="P836587"/>
    <s v="Y"/>
    <s v="BD"/>
    <s v="Bilz Damper EPPC in Ethercat control communication error"/>
    <s v="[intake 2449]"/>
    <x v="0"/>
    <x v="2"/>
    <x v="0"/>
    <m/>
    <m/>
    <x v="1"/>
    <x v="0"/>
    <x v="0"/>
  </r>
  <r>
    <s v="EZ60"/>
    <s v="Intel"/>
    <x v="20"/>
    <n v="47"/>
    <n v="2447"/>
    <d v="2024-11-19T00:00:00"/>
    <d v="1899-12-30T00:20:26"/>
    <d v="1899-12-30T00:19:44"/>
    <x v="95"/>
    <n v="1"/>
    <s v="FC-071"/>
    <s v="JMTP "/>
    <n v="52954491"/>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0"/>
    <x v="4"/>
    <x v="0"/>
  </r>
  <r>
    <s v="EZ60"/>
    <s v="Intel"/>
    <x v="15"/>
    <n v="47"/>
    <n v="2447"/>
    <d v="2024-11-18T00:00:00"/>
    <d v="1899-12-30T22:06:20"/>
    <d v="1899-12-30T23:14:00"/>
    <x v="96"/>
    <n v="1.07"/>
    <s v="FC-001"/>
    <s v="SDLG "/>
    <n v="52981759"/>
    <s v="P814182"/>
    <s v="P814182"/>
    <s v="Y"/>
    <s v="WH"/>
    <s v="[Pr20] LOT fails to restart after autorecovery because of WH communication"/>
    <s v="[intake 2438]_x000a_wk49.5: 9k SP38 HOI wk50.5. Customer release wk51 _x000a_wk49.2: Still likely to be on track for QBL this week  _x000a_wk48.5: Comeback on 49.2,. Good chance to make it on time _x000a_wk47.2: Thijs to check if solution can be delivered in wk50. _x000a_wk46.5: EDS o"/>
    <x v="2"/>
    <x v="2"/>
    <x v="0"/>
    <s v="SDLG: aborting lot and manually clear wafers (cont.);RC unknown yet"/>
    <m/>
    <x v="0"/>
    <x v="4"/>
    <x v="0"/>
  </r>
  <r>
    <s v="ET18"/>
    <s v="TSMC"/>
    <x v="17"/>
    <n v="47"/>
    <n v="2447"/>
    <d v="2024-11-18T00:00:00"/>
    <m/>
    <d v="1899-12-30T10:08:53"/>
    <x v="97"/>
    <n v="0.42"/>
    <s v="FC-071"/>
    <s v="JMTP "/>
    <n v="52952518"/>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m/>
    <m/>
    <x v="0"/>
    <x v="3"/>
    <x v="0"/>
  </r>
  <r>
    <s v="AJ99"/>
    <s v="SEC"/>
    <x v="45"/>
    <n v="47"/>
    <n v="2447"/>
    <d v="2024-11-18T00:00:00"/>
    <d v="1899-12-30T01:34:00"/>
    <d v="1899-12-30T01:14:13"/>
    <x v="98"/>
    <n v="3.04"/>
    <s v="FC-065"/>
    <s v="MKWQ"/>
    <n v="52979959"/>
    <s v="P839969"/>
    <s v="P839969"/>
    <s v="Y"/>
    <s v="PR"/>
    <s v="Auto recovery failure with CN-00AF (PXRD_PG)"/>
    <s v="[intake 2449]"/>
    <x v="2"/>
    <x v="2"/>
    <x v="0"/>
    <m/>
    <m/>
    <x v="0"/>
    <x v="0"/>
    <x v="0"/>
  </r>
  <r>
    <s v="EZ60"/>
    <s v="Intel"/>
    <x v="20"/>
    <n v="47"/>
    <n v="2447"/>
    <d v="2024-11-18T00:00:00"/>
    <d v="1899-12-30T00:12:38"/>
    <d v="1899-12-30T00:11:57"/>
    <x v="54"/>
    <n v="3.08"/>
    <s v="FC-071"/>
    <s v="JMTP "/>
    <n v="52954491"/>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0"/>
    <x v="4"/>
    <x v="0"/>
  </r>
  <r>
    <s v="EZ60"/>
    <s v="Intel"/>
    <x v="30"/>
    <n v="47"/>
    <n v="2447"/>
    <d v="2024-11-18T00:00:00"/>
    <d v="1899-12-30T22:01:23"/>
    <m/>
    <x v="99"/>
    <m/>
    <s v="FC-001"/>
    <s v="SDLG "/>
    <m/>
    <s v="P724863"/>
    <s v="P724863"/>
    <s v="Y"/>
    <s v="WS"/>
    <s v="LCW Pressure sensor P1&amp;P2 spike issue "/>
    <s v="[intake 2343]_x000a_wk44.3: Delayed dure to SSB5 work. External relase wk50.3_x000a_wk40.3:On track. Internal release wk47.4 12:00, wk48.3 external release"/>
    <x v="0"/>
    <x v="0"/>
    <x v="0"/>
    <m/>
    <m/>
    <x v="0"/>
    <x v="4"/>
    <x v="0"/>
  </r>
  <r>
    <s v="ET18"/>
    <s v="TSMC"/>
    <x v="22"/>
    <n v="46"/>
    <n v="2446"/>
    <d v="2024-11-17T00:00:00"/>
    <d v="1899-12-30T22:02:05"/>
    <d v="1899-12-30T22:02:05"/>
    <x v="75"/>
    <n v="3"/>
    <s v="FC-001"/>
    <s v="SDLG "/>
    <n v="52971340"/>
    <s v="P834708"/>
    <s v="P834708"/>
    <s v="Y"/>
    <s v="WH"/>
    <s v="Tracking - Lot Aborted by WE-0406 WH SUR HIPA error"/>
    <s v="[intake 2446]_x000a_wk50.2: Continue to monitor to ensure solution works_x000a_wk49.2: Being investigated and info coming in from LT."/>
    <x v="0"/>
    <x v="2"/>
    <x v="0"/>
    <s v="SDLG: Intake was done for this issue during XLD meeting. Detailed info can be found here: https://asml.sharepoint.com/:p:/r/sites/EUVNPIDailyFieldStatusCall/_layouts/15/Doc.aspx?sourcedoc=%7B50E2DC02-B54A-435B-82D1-8F4DA8AADD70%7D&amp;file=D020_ET18_SO52971340_SD_OR_lot%20aborted%20by%20WE-0406%20(SUR%20HIPA).pptx&amp;action=edit&amp;mobileredirect=true"/>
    <m/>
    <x v="0"/>
    <x v="0"/>
    <x v="0"/>
  </r>
  <r>
    <s v="AJ99"/>
    <s v="SEC"/>
    <x v="45"/>
    <n v="46"/>
    <n v="2446"/>
    <d v="2024-11-17T00:00:00"/>
    <d v="1899-12-30T07:27:00"/>
    <d v="1899-12-30T07:15:51"/>
    <x v="100"/>
    <n v="3.26"/>
    <s v="FC-065"/>
    <s v="MKWQ"/>
    <n v="52958596"/>
    <s v="P827649"/>
    <s v="P827649"/>
    <s v="Y"/>
    <s v="ME"/>
    <s v="[PH8585] KGHDMI tasks died unexpectedly"/>
    <s v="[intake 2443]_x000a_wk2443.2 2 hits seen at SEC and 1 at Intel. This issue is seen AFTER installing SP36 with P734065 fixes. Traces now running on mAJ99 to gather data_x000a_Wk46: RCA ongoing_x000a_wk46.3: Solutoin direction still not clear. Monitor for next hit_x000a_wk47.3: Hi"/>
    <x v="0"/>
    <x v="2"/>
    <x v="0"/>
    <m/>
    <m/>
    <x v="3"/>
    <x v="4"/>
    <x v="0"/>
  </r>
  <r>
    <s v="AJ99"/>
    <s v="SEC"/>
    <x v="56"/>
    <n v="46"/>
    <n v="2446"/>
    <d v="2024-11-16T00:00:00"/>
    <d v="1899-12-30T01:21:00"/>
    <d v="1899-12-30T01:38:43"/>
    <x v="101"/>
    <n v="2.64"/>
    <m/>
    <s v="no FC filled"/>
    <n v="52979110"/>
    <s v="P835721"/>
    <s v="P835721"/>
    <s v="Y"/>
    <s v="WH"/>
    <s v="[PH8670] Customer Lot had been processed with different Lot's wafer after selecting 'Track Out of Sync, Restart Next Lot' option when WX-820A error recovered"/>
    <s v="[intake 2447]_x000a_wk49.5: 9k SP39 HOI wk50.5_x000a_wk49.2: Already in QBL_x000a__x000a_wk48.5: 9k wk 50 on track"/>
    <x v="0"/>
    <x v="2"/>
    <x v="0"/>
    <m/>
    <m/>
    <x v="0"/>
    <x v="0"/>
    <x v="0"/>
  </r>
  <r>
    <s v="EZ60"/>
    <s v="Intel"/>
    <x v="20"/>
    <n v="46"/>
    <n v="2446"/>
    <d v="2024-11-16T00:00:00"/>
    <d v="1899-12-30T00:12:46"/>
    <d v="1899-12-30T00:12:06"/>
    <x v="102"/>
    <n v="0.64"/>
    <s v="FC-071"/>
    <s v="JMTP "/>
    <m/>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0"/>
    <x v="4"/>
    <x v="0"/>
  </r>
  <r>
    <s v="AJ99"/>
    <s v="SEC"/>
    <x v="29"/>
    <n v="46"/>
    <n v="2446"/>
    <d v="2024-11-16T00:00:00"/>
    <d v="1899-12-30T03:10:00"/>
    <m/>
    <x v="103"/>
    <n v="1.6"/>
    <s v="FC-012"/>
    <s v="ARWY "/>
    <n v="52978338"/>
    <s v="P833747"/>
    <s v="P833747"/>
    <s v="Y"/>
    <s v="PR"/>
    <s v="MPH disabled w/ PX-97A6 during lot operation"/>
    <s v="[intake 2447]"/>
    <x v="0"/>
    <x v="0"/>
    <x v="0"/>
    <s v="wk48.3 - ANHG: for this hit I don't see a lot abort for this timestamp. There is indeed a PX-97A6 but during a startup drivers with different root error. Does the same AIR apply?_x000a_There are four more PX-97A6 hits on this day at ~07:53 and ~08:10 but without lot aborts"/>
    <m/>
    <x v="0"/>
    <x v="4"/>
    <x v="0"/>
  </r>
  <r>
    <s v="AJ99"/>
    <s v="SEC"/>
    <x v="15"/>
    <n v="46"/>
    <n v="2446"/>
    <d v="2024-11-15T00:00:00"/>
    <d v="1899-12-30T17:55:00"/>
    <d v="1899-12-30T18:14:38"/>
    <x v="72"/>
    <n v="0.12"/>
    <s v="FC-001"/>
    <s v="SDLG "/>
    <n v="52971211"/>
    <s v="P835595"/>
    <s v="P835595"/>
    <s v="Y"/>
    <s v="WH"/>
    <s v="The track not removing the 7th wafer of a lot for over 5 minutes causes WX-802A on the 14th wafers the lot"/>
    <s v="[intake 2447]_x000a_wk49.2: Not considered as WH issue. Track issue. Check with LT TEL engineers to see if TEL can fix it. Check if these are really MTBFp or MTBFu issue  _x000a_wk48.2: Intake still pending. CS -CE to enrich AIR"/>
    <x v="2"/>
    <x v="2"/>
    <x v="0"/>
    <m/>
    <m/>
    <x v="0"/>
    <x v="4"/>
    <x v="0"/>
  </r>
  <r>
    <s v="ET18"/>
    <s v="TSMC"/>
    <x v="57"/>
    <n v="46"/>
    <n v="2446"/>
    <d v="2024-11-15T00:00:00"/>
    <d v="1899-12-30T06:43:27"/>
    <d v="1899-12-30T06:43:27"/>
    <x v="104"/>
    <n v="0.5"/>
    <s v="FC-010"/>
    <s v="ARWY "/>
    <n v="52974764"/>
    <s v="P340721"/>
    <s v="P340721"/>
    <s v="Y"/>
    <s v="not found"/>
    <s v="not found"/>
    <s v="not found"/>
    <x v="2"/>
    <x v="2"/>
    <x v="0"/>
    <m/>
    <m/>
    <x v="0"/>
    <x v="2"/>
    <x v="0"/>
  </r>
  <r>
    <s v="AJ99"/>
    <s v="SEC"/>
    <x v="53"/>
    <n v="46"/>
    <n v="2446"/>
    <d v="2024-11-14T00:00:00"/>
    <m/>
    <d v="1899-12-30T18:12:49"/>
    <x v="65"/>
    <n v="0.83"/>
    <s v="FC-028"/>
    <s v="not found"/>
    <n v="52924086"/>
    <s v="P817595"/>
    <s v="P817595"/>
    <s v="Y"/>
    <s v="MA"/>
    <s v="Cannot start/stop lot queue due to &quot;Lot operation&quot; window hangup"/>
    <s v="[intake 2447]"/>
    <x v="0"/>
    <x v="2"/>
    <x v="0"/>
    <m/>
    <m/>
    <x v="0"/>
    <x v="0"/>
    <x v="0"/>
  </r>
  <r>
    <s v="AJ99"/>
    <s v="SEC"/>
    <x v="15"/>
    <n v="46"/>
    <n v="2446"/>
    <d v="2024-11-14T00:00:00"/>
    <d v="1899-12-30T02:04:00"/>
    <d v="1899-12-30T03:55:01"/>
    <x v="105"/>
    <n v="0.16"/>
    <s v="FC-005"/>
    <s v="MKWQ"/>
    <n v="52977379"/>
    <s v="P835377"/>
    <s v="P835377"/>
    <s v="Y"/>
    <s v="n/a"/>
    <s v="n/a"/>
    <s v="n/a"/>
    <x v="2"/>
    <x v="2"/>
    <x v="0"/>
    <s v="Customer issue, aborted"/>
    <s v="Y"/>
    <x v="5"/>
    <x v="7"/>
    <x v="0"/>
  </r>
  <r>
    <s v="EZ60"/>
    <s v="Intel"/>
    <x v="20"/>
    <n v="46"/>
    <n v="2446"/>
    <d v="2024-11-14T00:00:00"/>
    <d v="1899-12-30T00:09:14"/>
    <d v="1899-12-30T00:08:55"/>
    <x v="106"/>
    <n v="1.6"/>
    <s v="FC-071"/>
    <s v="JMTP "/>
    <n v="52954491"/>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0"/>
    <x v="4"/>
    <x v="0"/>
  </r>
  <r>
    <s v="ET18"/>
    <s v="TSMC"/>
    <x v="58"/>
    <n v="46"/>
    <n v="2446"/>
    <d v="2024-11-13T00:00:00"/>
    <m/>
    <d v="1899-12-30T22:28:26"/>
    <x v="107"/>
    <n v="5.47"/>
    <s v="FC-001"/>
    <s v="SDLG "/>
    <n v="52978084"/>
    <s v="P810385"/>
    <s v="P810385"/>
    <s v="Y"/>
    <s v="WH"/>
    <s v="[Proto 20] AWH track hatch will not stay open"/>
    <s v=""/>
    <x v="0"/>
    <x v="2"/>
    <x v="0"/>
    <m/>
    <m/>
    <x v="0"/>
    <x v="4"/>
    <x v="0"/>
  </r>
  <r>
    <s v="ET18"/>
    <s v="TSMC"/>
    <x v="59"/>
    <n v="46"/>
    <n v="2446"/>
    <d v="2024-11-13T00:00:00"/>
    <d v="1899-12-30T13:08:00"/>
    <d v="1899-12-30T15:16:34"/>
    <x v="108"/>
    <n v="3.5"/>
    <s v="FC-001"/>
    <s v="SDLG "/>
    <n v="52977077"/>
    <s v="P832926"/>
    <s v="P832926"/>
    <s v="Y"/>
    <s v="WS"/>
    <s v="[PH8626] Wafer misalign on LDLK2 TOP during FWDDV2 after SP37 - Peripheral error WX-2811 due to WX-8025"/>
    <s v="[intake 2445]_x000a_Wk51.3: Solution delivered via P757377 from WH"/>
    <x v="0"/>
    <x v="2"/>
    <x v="0"/>
    <m/>
    <m/>
    <x v="2"/>
    <x v="1"/>
    <x v="0"/>
  </r>
  <r>
    <s v="AJ99"/>
    <s v="SEC"/>
    <x v="29"/>
    <n v="46"/>
    <n v="2446"/>
    <d v="2024-11-13T00:00:00"/>
    <d v="1899-12-30T10:51:31"/>
    <d v="1899-12-30T09:10:17"/>
    <x v="103"/>
    <n v="0.51"/>
    <s v="FC-012"/>
    <s v="ARWY "/>
    <n v="52978338"/>
    <s v="P833747"/>
    <s v="P833747"/>
    <s v="Y"/>
    <s v="PR"/>
    <s v="MPH disabled w/ PX-97A6 during lot operation"/>
    <s v="[intake 2447]"/>
    <x v="0"/>
    <x v="2"/>
    <x v="0"/>
    <s v="wk48.3 - ANHG: cannot see this hit on this timestamp. Are we linking the correct AIR?"/>
    <m/>
    <x v="0"/>
    <x v="4"/>
    <x v="0"/>
  </r>
  <r>
    <s v="AJ99"/>
    <s v="SEC"/>
    <x v="15"/>
    <n v="46"/>
    <n v="2446"/>
    <d v="2024-11-13T00:00:00"/>
    <m/>
    <d v="1899-12-30T05:34:42"/>
    <x v="109"/>
    <n v="2.08"/>
    <s v="FC-001"/>
    <s v="SDLG "/>
    <n v="52981369"/>
    <s v="P835595"/>
    <s v="P835595"/>
    <s v="Y"/>
    <s v="WH"/>
    <s v="The track not removing the 7th wafer of a lot for over 5 minutes causes WX-802A on the 14th wafers the lot"/>
    <s v="[intake 2447]_x000a_wk49.2: Not considered as WH issue. Track issue. Check with LT TEL engineers to see if TEL can fix it. Check if these are really MTBFp or MTBFu issue  _x000a_wk48.2: Intake still pending. CS -CE to enrich AIR"/>
    <x v="2"/>
    <x v="2"/>
    <x v="0"/>
    <m/>
    <m/>
    <x v="0"/>
    <x v="4"/>
    <x v="0"/>
  </r>
  <r>
    <s v="AJ99"/>
    <s v="SEC"/>
    <x v="60"/>
    <n v="46"/>
    <n v="2446"/>
    <d v="2024-11-13T00:00:00"/>
    <d v="1899-12-30T15:07:52"/>
    <m/>
    <x v="110"/>
    <n v="0.5"/>
    <s v="FC-010"/>
    <s v="ARWY "/>
    <n v="52976826"/>
    <s v="P831878"/>
    <s v="P831878"/>
    <s v="Y"/>
    <s v="UN"/>
    <s v="in the 3800, a sanity check is implemented. due to there is no marge for max attenuation level, the error UL-00FA is easyly triggered. need implement a Marge."/>
    <s v=""/>
    <x v="0"/>
    <x v="0"/>
    <x v="0"/>
    <m/>
    <m/>
    <x v="2"/>
    <x v="1"/>
    <x v="0"/>
  </r>
  <r>
    <s v="ET18"/>
    <s v="TSMC"/>
    <x v="61"/>
    <n v="46"/>
    <n v="2446"/>
    <d v="2024-11-12T00:00:00"/>
    <d v="1899-12-30T21:52:10"/>
    <d v="1899-12-30T22:58:46"/>
    <x v="111"/>
    <n v="2.57"/>
    <s v="FC-002"/>
    <s v="ANHG"/>
    <n v="52976698"/>
    <s v="P835540"/>
    <s v="P835540"/>
    <s v="Y"/>
    <s v="RH"/>
    <s v="[ET18] - RY-9802 Lot abort - Hypothesis RH-988E is the root cause"/>
    <s v="[intake 2447]_x000a_wk51.3: WLT CS-CE team following up with LT on the duration of DT and improvement options. Additional monitoring still requested for this Error on tool"/>
    <x v="2"/>
    <x v="2"/>
    <x v="0"/>
    <m/>
    <m/>
    <x v="0"/>
    <x v="4"/>
    <x v="0"/>
  </r>
  <r>
    <s v="ET18"/>
    <s v="TSMC"/>
    <x v="62"/>
    <n v="46"/>
    <n v="2446"/>
    <d v="2024-11-12T00:00:00"/>
    <d v="1899-12-30T12:55:42"/>
    <d v="1899-12-30T12:55:42"/>
    <x v="112"/>
    <n v="4.05"/>
    <s v="FC-087"/>
    <s v="EVHV"/>
    <n v="52977101"/>
    <s v="P836306"/>
    <s v="P836306"/>
    <s v="Y"/>
    <s v="TI"/>
    <s v="[ET18][E100]- DIS-06C2 - DGA Depressurized PR-PRS1 Value drop"/>
    <s v="[intake 24447]"/>
    <x v="2"/>
    <x v="2"/>
    <x v="0"/>
    <m/>
    <m/>
    <x v="0"/>
    <x v="0"/>
    <x v="0"/>
  </r>
  <r>
    <s v="AJ99"/>
    <s v="SEC"/>
    <x v="20"/>
    <n v="46"/>
    <n v="2446"/>
    <d v="2024-11-12T00:00:00"/>
    <d v="1899-12-30T10:35:53"/>
    <d v="1899-12-30T10:35:53"/>
    <x v="113"/>
    <n v="1.33"/>
    <s v="FC-071"/>
    <s v="JMTP "/>
    <n v="52975468"/>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1"/>
    <x v="4"/>
    <x v="0"/>
  </r>
  <r>
    <s v="EZ60"/>
    <s v="Intel"/>
    <x v="20"/>
    <n v="46"/>
    <n v="2446"/>
    <d v="2024-11-12T00:00:00"/>
    <d v="1899-12-30T00:10:41"/>
    <d v="1899-12-30T00:10:04"/>
    <x v="114"/>
    <n v="0.9"/>
    <s v="FC-071"/>
    <s v="JMTP "/>
    <n v="52949090"/>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0"/>
    <x v="4"/>
    <x v="0"/>
  </r>
  <r>
    <s v="AJ99"/>
    <s v="SEC"/>
    <x v="63"/>
    <n v="46"/>
    <n v="2446"/>
    <d v="2024-11-12T00:00:00"/>
    <d v="1899-12-30T05:58:18"/>
    <m/>
    <x v="115"/>
    <n v="2.2000000000000002"/>
    <s v="FC-001"/>
    <s v="SDLG "/>
    <n v="52976292"/>
    <s v="P737803"/>
    <s v="P737803"/>
    <s v="Y"/>
    <s v="WH"/>
    <s v="Overvoltage - Wafer shifted on SLR after HIPA MMDC error during XWLREU"/>
    <s v="[intake 2430] _x000a_wk42.4: Coverage reduced to 0 since no hits in last 8 weeks_x000a_wk41.4: Issue is parent of P804052 which was initially in our ambition list"/>
    <x v="0"/>
    <x v="0"/>
    <x v="0"/>
    <s v="SDLG: 7x hits during startup drivers"/>
    <m/>
    <x v="2"/>
    <x v="1"/>
    <x v="0"/>
  </r>
  <r>
    <s v="EZ60"/>
    <s v="Intel"/>
    <x v="20"/>
    <n v="46"/>
    <n v="2446"/>
    <d v="2024-11-11T00:00:00"/>
    <m/>
    <d v="1899-12-30T00:25:18"/>
    <x v="102"/>
    <n v="0.98"/>
    <s v="FC-071"/>
    <s v="JMTP "/>
    <n v="52974961"/>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0"/>
    <x v="4"/>
    <x v="0"/>
  </r>
  <r>
    <s v="ET18"/>
    <s v="TSMC"/>
    <x v="64"/>
    <n v="46"/>
    <n v="2446"/>
    <d v="2024-11-11T00:00:00"/>
    <d v="1899-12-30T17:55:59"/>
    <m/>
    <x v="116"/>
    <n v="2"/>
    <s v="FC-009"/>
    <s v="MKWQ"/>
    <n v="52946165"/>
    <s v="P807774"/>
    <s v="P807774"/>
    <s v="Y"/>
    <s v="DC"/>
    <s v="[E100] Lot fails on DW-5C00/ DW-5A01 error due to +/-2 wbin mismatch (E100 FW containment) (KH72, JF75) SP40"/>
    <s v="[intake 2437]_x000a_wk38.3: Linked to P805764_x000a_wk37.3: RC known and solution already available in SPA 140v2 - 614017_x000a_wk2437.1 New hit seen on Pi10 during reliab (Wafer reject only)"/>
    <x v="0"/>
    <x v="0"/>
    <x v="0"/>
    <m/>
    <m/>
    <x v="2"/>
    <x v="1"/>
    <x v="0"/>
  </r>
  <r>
    <s v="AJ99"/>
    <s v="SEC"/>
    <x v="45"/>
    <n v="46"/>
    <n v="2446"/>
    <d v="2024-11-11T00:00:00"/>
    <d v="1899-12-30T10:02:45"/>
    <m/>
    <x v="76"/>
    <n v="1"/>
    <s v="FC-065"/>
    <s v="MKWQ"/>
    <n v="52958596"/>
    <s v="P827649"/>
    <s v="P827649"/>
    <s v="Y"/>
    <s v="ME"/>
    <s v="[PH8585] KGHDMI tasks died unexpectedly"/>
    <s v="[intake 2443]_x000a_wk2443.2 2 hits seen at SEC and 1 at Intel. This issue is seen AFTER installing SP36 with P734065 fixes. Traces now running on mAJ99 to gather data_x000a_Wk46: RCA ongoing_x000a_wk46.3: Solutoin direction still not clear. Monitor for next hit_x000a_wk47.3: Hi"/>
    <x v="0"/>
    <x v="0"/>
    <x v="0"/>
    <m/>
    <m/>
    <x v="0"/>
    <x v="4"/>
    <x v="0"/>
  </r>
  <r>
    <s v="EZ60"/>
    <s v="Intel"/>
    <x v="20"/>
    <n v="45"/>
    <n v="2445"/>
    <d v="2024-11-10T00:00:00"/>
    <d v="1899-12-30T00:48:58"/>
    <d v="1899-12-30T00:48:23"/>
    <x v="117"/>
    <n v="0.53"/>
    <s v="FC-071"/>
    <s v="JMTP "/>
    <n v="52949090"/>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2"/>
    <x v="1"/>
    <x v="0"/>
  </r>
  <r>
    <s v="ET18"/>
    <s v="TSMC"/>
    <x v="22"/>
    <n v="45"/>
    <n v="2445"/>
    <d v="2024-11-09T00:00:00"/>
    <d v="1899-12-30T23:06:07"/>
    <d v="1899-12-30T23:40:48"/>
    <x v="75"/>
    <n v="0.66"/>
    <s v="FC-001"/>
    <s v="SDLG "/>
    <n v="52971340"/>
    <s v="P834708"/>
    <s v="P834708"/>
    <s v="Y"/>
    <s v="WH"/>
    <s v="Tracking - Lot Aborted by WE-0406 WH SUR HIPA error"/>
    <s v="[intake 2446]_x000a_wk50.2: Continue to monitor to ensure solution works_x000a_wk49.2: Being investigated and info coming in from LT."/>
    <x v="2"/>
    <x v="2"/>
    <x v="0"/>
    <s v="Containment: HIPA Replaced"/>
    <m/>
    <x v="0"/>
    <x v="4"/>
    <x v="0"/>
  </r>
  <r>
    <s v="EZ60"/>
    <s v="Intel"/>
    <x v="52"/>
    <n v="45"/>
    <n v="2445"/>
    <d v="2024-11-09T00:00:00"/>
    <m/>
    <d v="1899-12-30T18:27:00"/>
    <x v="118"/>
    <n v="6.02"/>
    <s v="FC-031"/>
    <s v="MKWQ"/>
    <n v="52970343"/>
    <s v="P833511"/>
    <s v="P833511"/>
    <s v="Y"/>
    <s v="SP"/>
    <s v="[EZ60][3800] MI-FED5 causing LOT abort and subsequent init issues"/>
    <s v="[intake 2446]"/>
    <x v="2"/>
    <x v="2"/>
    <x v="0"/>
    <m/>
    <m/>
    <x v="0"/>
    <x v="4"/>
    <x v="0"/>
  </r>
  <r>
    <s v="ET18"/>
    <s v="TSMC"/>
    <x v="29"/>
    <n v="45"/>
    <n v="2445"/>
    <d v="2024-11-08T00:00:00"/>
    <m/>
    <d v="1899-12-30T15:48:08"/>
    <x v="119"/>
    <n v="1.86"/>
    <s v="FC-012"/>
    <s v="ARWY "/>
    <n v="52978493"/>
    <s v="P803536"/>
    <s v="P803536"/>
    <s v="Incorrect"/>
    <s v="PR"/>
    <s v="PMHC HLQB LD4 release for several quality and design issues"/>
    <s v="[PMHC LD4] PMHC#42 (wk5)"/>
    <x v="0"/>
    <x v="2"/>
    <x v="0"/>
    <s v="AIR is not matched with the OCC. _x000a_SEDV - WK48.2: Reached out LT for check_x000a_ANHG - wk48.3: issue seems to be related to ILIAS sensor, LUEP fails on ZS-1703 (should be FC-008?)"/>
    <m/>
    <x v="0"/>
    <x v="0"/>
    <x v="0"/>
  </r>
  <r>
    <s v="ET18"/>
    <s v="TSMC"/>
    <x v="20"/>
    <n v="45"/>
    <n v="2445"/>
    <d v="2024-11-08T00:00:00"/>
    <m/>
    <d v="1899-12-30T13:19:23"/>
    <x v="120"/>
    <n v="0.16"/>
    <s v="FC-071"/>
    <s v="JMTP "/>
    <n v="52952518"/>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m/>
    <m/>
    <x v="1"/>
    <x v="4"/>
    <x v="0"/>
  </r>
  <r>
    <s v="EZ60"/>
    <s v="Intel"/>
    <x v="52"/>
    <n v="45"/>
    <n v="2445"/>
    <d v="2024-11-08T00:00:00"/>
    <d v="1899-12-30T09:31:47"/>
    <d v="1899-12-30T09:24:46"/>
    <x v="121"/>
    <n v="1.37"/>
    <s v="FC-031"/>
    <s v="MKWQ"/>
    <n v="52970343"/>
    <s v="P833511"/>
    <s v="P833511"/>
    <s v="Y"/>
    <s v="SP"/>
    <s v="[EZ60][3800] MI-FED5 causing LOT abort and subsequent init issues"/>
    <s v="[intake 2446]"/>
    <x v="2"/>
    <x v="2"/>
    <x v="0"/>
    <m/>
    <m/>
    <x v="0"/>
    <x v="4"/>
    <x v="0"/>
  </r>
  <r>
    <s v="AJ99"/>
    <s v="SEC"/>
    <x v="2"/>
    <n v="45"/>
    <n v="2445"/>
    <d v="2024-11-08T00:00:00"/>
    <d v="1899-12-30T17:30:00"/>
    <m/>
    <x v="122"/>
    <n v="1.5"/>
    <m/>
    <s v="no FC filled"/>
    <n v="52970687"/>
    <m/>
    <m/>
    <m/>
    <s v="no AIR"/>
    <s v="no AIR"/>
    <s v="no AIR"/>
    <x v="0"/>
    <x v="0"/>
    <x v="0"/>
    <m/>
    <m/>
    <x v="0"/>
    <x v="0"/>
    <x v="0"/>
  </r>
  <r>
    <s v="EZ60"/>
    <s v="Intel"/>
    <x v="51"/>
    <n v="45"/>
    <n v="2445"/>
    <d v="2024-11-08T00:00:00"/>
    <d v="1899-12-30T14:15:06"/>
    <m/>
    <x v="123"/>
    <n v="2"/>
    <s v="FC-027"/>
    <s v="STRG"/>
    <n v="52973192"/>
    <m/>
    <s v=""/>
    <m/>
    <s v="no AIR"/>
    <s v="no AIR"/>
    <s v="no AIR"/>
    <x v="0"/>
    <x v="0"/>
    <x v="0"/>
    <m/>
    <m/>
    <x v="0"/>
    <x v="0"/>
    <x v="0"/>
  </r>
  <r>
    <s v="ET18"/>
    <s v="TSMC"/>
    <x v="48"/>
    <n v="45"/>
    <n v="2445"/>
    <d v="2024-11-07T00:00:00"/>
    <d v="1899-12-30T12:49:32"/>
    <d v="1899-12-30T12:49:33"/>
    <x v="124"/>
    <n v="1.57"/>
    <s v="FC-071"/>
    <s v="JMTP "/>
    <s v="52940162​"/>
    <s v="P844948"/>
    <s v="P844948"/>
    <s v="Y"/>
    <s v="BT"/>
    <s v="mET18 LAW-1002 ; 3 lot aborts - fixed with RFg swap"/>
    <s v=""/>
    <x v="2"/>
    <x v="2"/>
    <x v="0"/>
    <s v="[STRG] WK48.2: Added relevant IB&amp;S air as it's a known issue. Also agreed on relevant air with Trumpf"/>
    <m/>
    <x v="0"/>
    <x v="2"/>
    <x v="0"/>
  </r>
  <r>
    <s v="EZ60"/>
    <s v="Intel"/>
    <x v="65"/>
    <n v="45"/>
    <n v="2445"/>
    <d v="2024-11-07T00:00:00"/>
    <d v="1899-12-30T04:59:04"/>
    <d v="1899-12-30T05:01:36"/>
    <x v="90"/>
    <n v="1.92"/>
    <s v="FC-065"/>
    <s v="MKWQ"/>
    <n v="52972397"/>
    <s v="P660163"/>
    <s v="P660163"/>
    <s v="Y"/>
    <s v="ME"/>
    <s v="[MTBF 4.5hr] - CN-00C0 due to KEETMI timeout in message reception [WS Service] [LH 2.5; MTBI 0.04; AVA 0.02]"/>
    <s v="[intake 2448]"/>
    <x v="2"/>
    <x v="2"/>
    <x v="0"/>
    <s v="P835154 - has been aborted and issue linked to P660163"/>
    <m/>
    <x v="0"/>
    <x v="2"/>
    <x v="0"/>
  </r>
  <r>
    <s v="AJ99"/>
    <s v="SEC"/>
    <x v="59"/>
    <n v="45"/>
    <n v="2445"/>
    <d v="2024-11-07T00:00:00"/>
    <d v="1899-12-30T02:30:48"/>
    <d v="1899-12-30T02:33:56"/>
    <x v="125"/>
    <n v="7.66"/>
    <s v="FC-001"/>
    <s v="SDLG "/>
    <n v="52971463"/>
    <s v="P832926"/>
    <s v="P832926"/>
    <s v="Y"/>
    <s v="WS"/>
    <s v="[PH8626] Wafer misalign on LDLK2 TOP during FWDDV2 after SP37 - Peripheral error WX-2811 due to WX-8025"/>
    <s v="[intake 2445]_x000a_Wk51.3: Solution delivered via P757377 from WH"/>
    <x v="0"/>
    <x v="0"/>
    <x v="0"/>
    <m/>
    <m/>
    <x v="0"/>
    <x v="0"/>
    <x v="0"/>
  </r>
  <r>
    <s v="EZ60"/>
    <s v="Intel"/>
    <x v="20"/>
    <n v="45"/>
    <n v="2445"/>
    <d v="2024-11-07T00:00:00"/>
    <m/>
    <d v="1899-12-30T00:20:40"/>
    <x v="126"/>
    <n v="0.37"/>
    <s v="FC-071"/>
    <s v="JMTP "/>
    <n v="52954491"/>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0"/>
    <x v="4"/>
    <x v="0"/>
  </r>
  <r>
    <s v="ET18"/>
    <s v="TSMC"/>
    <x v="66"/>
    <n v="45"/>
    <n v="2445"/>
    <d v="2024-11-07T00:00:00"/>
    <d v="1899-12-30T05:45:14"/>
    <m/>
    <x v="127"/>
    <n v="0.5"/>
    <s v="FC-009"/>
    <s v="MKWQ"/>
    <m/>
    <m/>
    <s v=""/>
    <s v="N/A"/>
    <s v="no AIR"/>
    <s v="no AIR"/>
    <s v="no AIR"/>
    <x v="0"/>
    <x v="0"/>
    <x v="0"/>
    <m/>
    <m/>
    <x v="0"/>
    <x v="0"/>
    <x v="0"/>
  </r>
  <r>
    <s v="ET18"/>
    <s v="TSMC"/>
    <x v="22"/>
    <n v="45"/>
    <n v="2445"/>
    <d v="2024-11-06T00:00:00"/>
    <d v="1899-12-30T18:58:19"/>
    <d v="1899-12-30T19:13:47"/>
    <x v="75"/>
    <n v="2.87"/>
    <s v="FC-001"/>
    <s v="SDLG "/>
    <n v="52971340"/>
    <s v="P834708"/>
    <s v="P834708"/>
    <s v="Y"/>
    <s v="WH"/>
    <s v="Tracking - Lot Aborted by WE-0406 WH SUR HIPA error"/>
    <s v="[intake 2446]_x000a_wk50.2: Continue to monitor to ensure solution works_x000a_wk49.2: Being investigated and info coming in from LT."/>
    <x v="2"/>
    <x v="2"/>
    <x v="0"/>
    <s v="Containment: HIPA Replaced"/>
    <m/>
    <x v="0"/>
    <x v="4"/>
    <x v="0"/>
  </r>
  <r>
    <s v="AJ99"/>
    <s v="SEC"/>
    <x v="67"/>
    <n v="45"/>
    <n v="2445"/>
    <d v="2024-11-06T00:00:00"/>
    <m/>
    <m/>
    <x v="128"/>
    <n v="3"/>
    <s v="FC-001"/>
    <s v="MFSX"/>
    <n v="52971458"/>
    <s v="_x0009_P796613"/>
    <s v="_x0009_P796613"/>
    <s v="Incorrect"/>
    <s v="not found"/>
    <s v="not found"/>
    <s v="not found"/>
    <x v="0"/>
    <x v="0"/>
    <x v="0"/>
    <s v="MFSX-wk2446.5: Found AIR P796613 to be linked with this SO. However, this seems to be incorrect._x000a_MFSX-wk2446.5: Cannot find WZ-0D04 or PG-7406 (see AIR) on AJ99 at Nov. 6th, 2024. Maybe the timestamp is wrong?"/>
    <m/>
    <x v="0"/>
    <x v="0"/>
    <x v="0"/>
  </r>
  <r>
    <s v="ET18"/>
    <s v="TSMC"/>
    <x v="65"/>
    <n v="45"/>
    <n v="2445"/>
    <d v="2024-11-05T00:00:00"/>
    <d v="1899-12-30T22:39:30"/>
    <d v="1899-12-30T23:26:22"/>
    <x v="129"/>
    <n v="0.35"/>
    <s v="FC-038"/>
    <s v="MKWQ"/>
    <n v="52969418"/>
    <s v="P827642"/>
    <s v="P827642"/>
    <s v="Y"/>
    <s v="WH"/>
    <s v="[IX60][Pilot 20]  Lot abort due to  OO-000B  [[S2:VSAP_PLC; T1:VSAP; ]] Connection lost for function"/>
    <s v="[intake 2442]_x000a_wk49.5: 9k SP39 HOI wk50.5_x000a_wk49.2: QBL in wk49.3_x000a_wk48.5: On track_x000a_wk47.2: Plan to deliver in wk50_x000a_wk46.2: Possibility to have it in Batch 6 wk48"/>
    <x v="2"/>
    <x v="2"/>
    <x v="0"/>
    <s v="DTOM: updated AIR to leading item (old P811383)"/>
    <m/>
    <x v="0"/>
    <x v="4"/>
    <x v="0"/>
  </r>
  <r>
    <s v="AJ99"/>
    <s v="SEC"/>
    <x v="15"/>
    <n v="45"/>
    <n v="2445"/>
    <d v="2024-11-05T00:00:00"/>
    <d v="1899-12-30T18:34:10"/>
    <d v="1899-12-30T19:08:38"/>
    <x v="130"/>
    <n v="0.24"/>
    <s v="FC-001"/>
    <s v="SDLG "/>
    <n v="52970227"/>
    <s v="P821654"/>
    <s v="P821654"/>
    <s v="Y"/>
    <s v="WH"/>
    <s v="[ET18] Wafer stuck at TWINSCAN and lot abort triggered after track stops for 5 mins"/>
    <s v="[intake 2442]_x000a_wk47.2: On track for HOI 47.4"/>
    <x v="2"/>
    <x v="2"/>
    <x v="0"/>
    <s v="SDLG: TE track issue, WH requests to transfer to track"/>
    <m/>
    <x v="0"/>
    <x v="4"/>
    <x v="0"/>
  </r>
  <r>
    <s v="ET18"/>
    <s v="TSMC"/>
    <x v="65"/>
    <n v="45"/>
    <n v="2445"/>
    <d v="2024-11-05T00:00:00"/>
    <d v="1899-12-30T07:15:21"/>
    <d v="1899-12-30T07:44:49"/>
    <x v="129"/>
    <n v="9.57"/>
    <s v="FC-038"/>
    <s v="MKWQ"/>
    <n v="52969418"/>
    <s v="P827642"/>
    <s v="P827642"/>
    <s v="Y"/>
    <s v="WH"/>
    <s v="[IX60][Pilot 20]  Lot abort due to  OO-000B  [[S2:VSAP_PLC; T1:VSAP; ]] Connection lost for function"/>
    <s v="[intake 2442]_x000a_wk49.5: 9k SP39 HOI wk50.5_x000a_wk49.2: QBL in wk49.3_x000a_wk48.5: On track_x000a_wk47.2: Plan to deliver in wk50_x000a_wk46.2: Possibility to have it in Batch 6 wk48"/>
    <x v="2"/>
    <x v="2"/>
    <x v="0"/>
    <s v="DTOM: updated AIR to leading item (old P811383)"/>
    <m/>
    <x v="0"/>
    <x v="4"/>
    <x v="0"/>
  </r>
  <r>
    <s v="EZ60"/>
    <s v="Intel"/>
    <x v="52"/>
    <n v="45"/>
    <n v="2445"/>
    <d v="2024-11-05T00:00:00"/>
    <d v="1899-12-30T04:37:00"/>
    <d v="1899-12-30T04:31:58"/>
    <x v="131"/>
    <n v="0.8"/>
    <s v="FC-031"/>
    <s v="MKWQ"/>
    <n v="52970343"/>
    <s v="P833511"/>
    <s v="P833511"/>
    <s v="Y"/>
    <s v="SP"/>
    <s v="[EZ60][3800] MI-FED5 causing LOT abort and subsequent init issues"/>
    <s v="[intake 2446]"/>
    <x v="0"/>
    <x v="2"/>
    <x v="0"/>
    <m/>
    <m/>
    <x v="0"/>
    <x v="0"/>
    <x v="0"/>
  </r>
  <r>
    <s v="AJ99"/>
    <s v="SEC"/>
    <x v="68"/>
    <n v="45"/>
    <n v="2445"/>
    <d v="2024-11-05T00:00:00"/>
    <d v="1899-12-30T22:47:47"/>
    <m/>
    <x v="132"/>
    <n v="0.25"/>
    <s v="FC-006"/>
    <s v="MKWQ"/>
    <n v="52970290"/>
    <m/>
    <s v=""/>
    <s v="N/A"/>
    <s v="no AIR"/>
    <s v="no AIR"/>
    <s v="no AIR"/>
    <x v="0"/>
    <x v="0"/>
    <x v="0"/>
    <s v="To be investigated"/>
    <m/>
    <x v="0"/>
    <x v="0"/>
    <x v="0"/>
  </r>
  <r>
    <s v="ET18"/>
    <s v="TSMC"/>
    <x v="11"/>
    <n v="45"/>
    <n v="2445"/>
    <d v="2024-11-05T00:00:00"/>
    <d v="1899-12-30T07:44:32"/>
    <m/>
    <x v="133"/>
    <m/>
    <s v="FC-038"/>
    <s v="MKWQ"/>
    <n v="52969419"/>
    <s v="P827642"/>
    <s v="P827642"/>
    <s v="Y"/>
    <s v="WH"/>
    <s v="[IX60][Pilot 20]  Lot abort due to  OO-000B  [[S2:VSAP_PLC; T1:VSAP; ]] Connection lost for function"/>
    <s v="[intake 2442]_x000a_wk49.5: 9k SP39 HOI wk50.5_x000a_wk49.2: QBL in wk49.3_x000a_wk48.5: On track_x000a_wk47.2: Plan to deliver in wk50_x000a_wk46.2: Possibility to have it in Batch 6 wk48"/>
    <x v="0"/>
    <x v="0"/>
    <x v="0"/>
    <s v="DTOM: updated AIR to leading item (old P811383)"/>
    <m/>
    <x v="0"/>
    <x v="0"/>
    <x v="0"/>
  </r>
  <r>
    <s v="AJ99"/>
    <s v="SEC"/>
    <x v="20"/>
    <n v="45"/>
    <n v="2445"/>
    <d v="2024-11-04T00:00:00"/>
    <m/>
    <d v="1899-12-30T09:20:57"/>
    <x v="134"/>
    <n v="0.25"/>
    <s v="FC-071"/>
    <s v="JMTP "/>
    <n v="52959574"/>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1"/>
    <x v="4"/>
    <x v="0"/>
  </r>
  <r>
    <s v="ET18"/>
    <s v="TSMC"/>
    <x v="65"/>
    <n v="45"/>
    <n v="2445"/>
    <d v="2024-11-04T00:00:00"/>
    <d v="1899-12-30T18:24:06"/>
    <m/>
    <x v="135"/>
    <n v="0.3"/>
    <s v="FC-038"/>
    <s v="MKWQ"/>
    <n v="52969418"/>
    <s v="P827642"/>
    <s v="P827642"/>
    <s v="Y"/>
    <s v="WH"/>
    <s v="[IX60][Pilot 20]  Lot abort due to  OO-000B  [[S2:VSAP_PLC; T1:VSAP; ]] Connection lost for function"/>
    <s v="[intake 2442]_x000a_wk49.5: 9k SP39 HOI wk50.5_x000a_wk49.2: QBL in wk49.3_x000a_wk48.5: On track_x000a_wk47.2: Plan to deliver in wk50_x000a_wk46.2: Possibility to have it in Batch 6 wk48"/>
    <x v="0"/>
    <x v="0"/>
    <x v="0"/>
    <s v="DTOM: updated AIR to leading item (old P811383)"/>
    <m/>
    <x v="0"/>
    <x v="0"/>
    <x v="0"/>
  </r>
  <r>
    <s v="EZ60"/>
    <s v="Intel"/>
    <x v="69"/>
    <n v="44"/>
    <n v="2444"/>
    <d v="2024-11-03T00:00:00"/>
    <d v="1899-12-30T14:35:58"/>
    <m/>
    <x v="136"/>
    <n v="10"/>
    <s v="FC-003"/>
    <s v="JHVD "/>
    <n v="52969065"/>
    <m/>
    <s v=""/>
    <s v="N/A"/>
    <s v="no AIR"/>
    <s v="no AIR"/>
    <s v="no AIR"/>
    <x v="0"/>
    <x v="0"/>
    <x v="0"/>
    <s v="No follow-up needed"/>
    <m/>
    <x v="0"/>
    <x v="0"/>
    <x v="0"/>
  </r>
  <r>
    <s v="ET18"/>
    <s v="TSMC"/>
    <x v="37"/>
    <n v="44"/>
    <n v="2444"/>
    <d v="2024-11-03T00:00:00"/>
    <d v="1899-12-30T11:28:11"/>
    <m/>
    <x v="137"/>
    <n v="0.5"/>
    <s v="FC-002"/>
    <s v="ANHG"/>
    <n v="52969044"/>
    <s v="P844827 "/>
    <s v="P844827 "/>
    <s v="N/A"/>
    <s v="not found"/>
    <s v="not found"/>
    <s v="not found"/>
    <x v="0"/>
    <x v="0"/>
    <x v="0"/>
    <m/>
    <m/>
    <x v="0"/>
    <x v="0"/>
    <x v="0"/>
  </r>
  <r>
    <s v="AJ99"/>
    <s v="SEC"/>
    <x v="29"/>
    <n v="44"/>
    <n v="2444"/>
    <d v="2024-11-03T00:00:00"/>
    <d v="1899-12-30T05:03:08"/>
    <m/>
    <x v="138"/>
    <n v="0.7"/>
    <s v="FC-012"/>
    <s v="ARWY "/>
    <n v="52967530"/>
    <s v="P833747"/>
    <s v="P833747"/>
    <s v="Y"/>
    <s v="PR"/>
    <s v="MPH disabled w/ PX-97A6 during lot operation"/>
    <s v="[intake 2447]"/>
    <x v="0"/>
    <x v="0"/>
    <x v="0"/>
    <s v="New AIR to be created  by LT"/>
    <m/>
    <x v="0"/>
    <x v="0"/>
    <x v="0"/>
  </r>
  <r>
    <s v="EZ60"/>
    <s v="Intel"/>
    <x v="70"/>
    <n v="44"/>
    <n v="2444"/>
    <d v="2024-11-02T00:00:00"/>
    <d v="1899-12-30T21:26:38"/>
    <m/>
    <x v="139"/>
    <n v="1"/>
    <s v="FC-064"/>
    <s v="not found"/>
    <n v="52967770"/>
    <s v="P811604"/>
    <s v="P811604"/>
    <s v="Y"/>
    <s v="not found"/>
    <s v="not found"/>
    <s v="not found"/>
    <x v="0"/>
    <x v="0"/>
    <x v="0"/>
    <m/>
    <m/>
    <x v="0"/>
    <x v="0"/>
    <x v="0"/>
  </r>
  <r>
    <s v="EZ60"/>
    <s v="Intel"/>
    <x v="63"/>
    <n v="44"/>
    <n v="2444"/>
    <d v="2024-11-01T00:00:00"/>
    <d v="1899-12-30T13:04:18"/>
    <d v="1899-12-30T13:06:14"/>
    <x v="140"/>
    <n v="4.97"/>
    <s v="FC-001"/>
    <s v="MFSX"/>
    <n v="52967141"/>
    <s v="P737803"/>
    <s v="P737803"/>
    <s v="Y"/>
    <s v="WH"/>
    <s v="Overvoltage - Wafer shifted on SLR after HIPA MMDC error during XWLREU"/>
    <s v="[intake 2430] _x000a_wk42.4: Coverage reduced to 0 since no hits in last 8 weeks_x000a_wk41.4: Issue is parent of P804052 which was initially in our ambition list"/>
    <x v="0"/>
    <x v="2"/>
    <x v="0"/>
    <s v="SDLG: 4hits during startup drivers. DSU action when error happened_x000a_MFSX-wk2426.2: Cannot confirm AIR P737803 at the moment. Will have to ask Stijn Beer to check this issue."/>
    <m/>
    <x v="0"/>
    <x v="0"/>
    <x v="0"/>
  </r>
  <r>
    <s v="EZ60"/>
    <s v="Intel"/>
    <x v="71"/>
    <n v="44"/>
    <n v="2444"/>
    <d v="2024-11-01T00:00:00"/>
    <d v="1899-12-30T15:34:51"/>
    <m/>
    <x v="141"/>
    <n v="1.5"/>
    <s v="FC-001"/>
    <s v="SDLG "/>
    <n v="52967188"/>
    <s v="P833511"/>
    <s v="P833511"/>
    <s v="Y"/>
    <s v="SP"/>
    <s v="[EZ60][3800] MI-FED5 causing LOT abort and subsequent init issues"/>
    <s v="[intake 2446]"/>
    <x v="0"/>
    <x v="0"/>
    <x v="0"/>
    <m/>
    <m/>
    <x v="0"/>
    <x v="0"/>
    <x v="0"/>
  </r>
  <r>
    <s v="ET18"/>
    <s v="TSMC"/>
    <x v="7"/>
    <n v="44"/>
    <n v="2444"/>
    <d v="2024-10-31T00:00:00"/>
    <d v="1899-12-30T13:40:19"/>
    <d v="1899-12-30T18:16:09"/>
    <x v="142"/>
    <n v="0.97"/>
    <s v="FC-002"/>
    <s v="ANHG"/>
    <n v="52965484"/>
    <s v="P833009"/>
    <s v="P833009"/>
    <s v="Y"/>
    <s v="KW"/>
    <s v="[ET18] [PAAC] Error (0x0031) = EXTERNAL AMPLIFIER ERROR: Current not balanced between paralleled sections"/>
    <s v="[intake 2446]_x000a_wk47.3: RS PAAC is type 5 Monitor this issue since we have many reliable boards in the field already."/>
    <x v="2"/>
    <x v="2"/>
    <x v="0"/>
    <s v="Swap RS1RC slot9 &amp; slot13_x000a_wk2445.3 ANHG - keep monitoring to see if issue moves (if so swap PAAC, otherwise MPAC needs to be replaced)"/>
    <m/>
    <x v="5"/>
    <x v="8"/>
    <x v="0"/>
  </r>
  <r>
    <s v="ET18"/>
    <s v="TSMC"/>
    <x v="5"/>
    <n v="44"/>
    <n v="2444"/>
    <d v="2024-10-31T00:00:00"/>
    <d v="1899-12-30T14:30:17"/>
    <d v="1899-12-30T14:34:37"/>
    <x v="143"/>
    <n v="0.5"/>
    <s v="FC-001"/>
    <s v="SDLG "/>
    <n v="52939958"/>
    <s v="P814182"/>
    <s v="P814182"/>
    <s v="Y"/>
    <s v="WH"/>
    <s v="[Pr20] LOT fails to restart after autorecovery because of WH communication"/>
    <s v="[intake 2438]_x000a_wk49.5: 9k SP38 HOI wk50.5. Customer release wk51 _x000a_wk49.2: Still likely to be on track for QBL this week  _x000a_wk48.5: Comeback on 49.2,. Good chance to make it on time _x000a_wk47.2: Thijs to check if solution can be delivered in wk50. _x000a_wk46.5: EDS o"/>
    <x v="2"/>
    <x v="2"/>
    <x v="0"/>
    <s v="Plan to replace AWH GIOS1 (ewh162.rep), and reconnect track link cable between WHAECP X8-17 and WHCP X8-17 _x000a_WK2445.4: ER Trace added (SEDV) "/>
    <m/>
    <x v="0"/>
    <x v="4"/>
    <x v="0"/>
  </r>
  <r>
    <s v="ET18"/>
    <s v="TSMC"/>
    <x v="7"/>
    <n v="44"/>
    <n v="2444"/>
    <d v="2024-10-31T00:00:00"/>
    <d v="1899-12-30T17:56:19"/>
    <m/>
    <x v="142"/>
    <n v="1.25"/>
    <s v="FC-002"/>
    <s v="ANHG"/>
    <n v="52965484"/>
    <s v="P833009"/>
    <s v="P833009"/>
    <s v="Y"/>
    <s v="KW"/>
    <s v="[ET18] [PAAC] Error (0x0031) = EXTERNAL AMPLIFIER ERROR: Current not balanced between paralleled sections"/>
    <s v="[intake 2446]_x000a_wk47.3: RS PAAC is type 5 Monitor this issue since we have many reliable boards in the field already."/>
    <x v="0"/>
    <x v="0"/>
    <x v="0"/>
    <s v="Swap RS1RC slot9 &amp; slot13_x000a_wk2445.3 ANHG - keep monitoring to see if issue moves (if so swap PAAC, otherwise MPAC needs to be replaced)"/>
    <m/>
    <x v="5"/>
    <x v="8"/>
    <x v="0"/>
  </r>
  <r>
    <s v="AJ99"/>
    <s v="SEC"/>
    <x v="20"/>
    <n v="44"/>
    <n v="2444"/>
    <d v="2024-10-31T00:00:00"/>
    <d v="1899-12-30T01:38:17"/>
    <m/>
    <x v="144"/>
    <n v="0.3"/>
    <s v="FC-071"/>
    <s v="JMTP "/>
    <n v="52959574"/>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0"/>
    <x v="0"/>
    <m/>
    <m/>
    <x v="0"/>
    <x v="0"/>
    <x v="0"/>
  </r>
  <r>
    <s v="AJ99"/>
    <s v="SEC"/>
    <x v="72"/>
    <n v="44"/>
    <n v="2444"/>
    <d v="2024-10-31T00:00:00"/>
    <d v="1899-12-30T00:03:04"/>
    <m/>
    <x v="145"/>
    <n v="8"/>
    <s v="FC-072"/>
    <s v="JMTP "/>
    <n v="52965083"/>
    <s v="P670715"/>
    <s v="P670715"/>
    <s v="Incorrect"/>
    <s v="not found"/>
    <s v="not found"/>
    <s v="not found"/>
    <x v="0"/>
    <x v="0"/>
    <x v="0"/>
    <s v="Need new AIR for solution. GUEJ will reach out PL."/>
    <m/>
    <x v="0"/>
    <x v="0"/>
    <x v="0"/>
  </r>
  <r>
    <s v="ET18"/>
    <s v="TSMC"/>
    <x v="73"/>
    <n v="44"/>
    <n v="2444"/>
    <d v="2024-10-30T00:00:00"/>
    <d v="1899-12-30T17:43:48"/>
    <m/>
    <x v="146"/>
    <n v="0.2"/>
    <s v="FC-009"/>
    <s v="MKWQ"/>
    <n v="52934323"/>
    <m/>
    <m/>
    <s v="N/A"/>
    <s v="no AIR"/>
    <s v="no AIR"/>
    <s v="no AIR"/>
    <x v="0"/>
    <x v="0"/>
    <x v="0"/>
    <m/>
    <m/>
    <x v="0"/>
    <x v="0"/>
    <x v="0"/>
  </r>
  <r>
    <s v="ET18"/>
    <s v="TSMC"/>
    <x v="54"/>
    <n v="44"/>
    <n v="2444"/>
    <d v="2024-10-30T00:00:00"/>
    <d v="1899-12-30T10:06:22"/>
    <m/>
    <x v="147"/>
    <m/>
    <s v="FC-078"/>
    <s v="KNGN"/>
    <n v="52924323"/>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0"/>
    <x v="0"/>
    <m/>
    <m/>
    <x v="0"/>
    <x v="2"/>
    <x v="0"/>
  </r>
  <r>
    <s v="ET18"/>
    <s v="TSMC"/>
    <x v="65"/>
    <n v="44"/>
    <n v="2444"/>
    <d v="2024-10-30T00:00:00"/>
    <d v="1899-12-30T08:17:41"/>
    <m/>
    <x v="148"/>
    <n v="1.45"/>
    <s v="FC-027"/>
    <s v="STRG"/>
    <n v="52965204"/>
    <s v="P831095"/>
    <s v="P831095"/>
    <s v="Y"/>
    <s v="RH"/>
    <s v="[ET18] - Run HREUCC suffered CN-00A5 (RUBIAPP) and task died"/>
    <s v="[intake 24447]_x000a_wk50.3: Real time tracing added to tool. Monitor for next hit"/>
    <x v="0"/>
    <x v="2"/>
    <x v="0"/>
    <m/>
    <m/>
    <x v="0"/>
    <x v="0"/>
    <x v="0"/>
  </r>
  <r>
    <s v="EZ60"/>
    <s v="Intel"/>
    <x v="29"/>
    <n v="44"/>
    <n v="2444"/>
    <d v="2024-10-30T00:00:00"/>
    <d v="1899-12-30T07:42:18"/>
    <m/>
    <x v="149"/>
    <m/>
    <s v="FC-012"/>
    <s v="ARWY "/>
    <n v="52961288"/>
    <s v="P767015"/>
    <s v="P767015"/>
    <s v="Y"/>
    <s v="PR"/>
    <s v="[KeepAlive] CARM driver resets the MHCB2 board during for keep alive functionality"/>
    <s v="SP39"/>
    <x v="0"/>
    <x v="0"/>
    <x v="0"/>
    <m/>
    <m/>
    <x v="3"/>
    <x v="0"/>
    <x v="0"/>
  </r>
  <r>
    <s v="AJ99"/>
    <s v="SEC"/>
    <x v="2"/>
    <n v="44"/>
    <n v="2444"/>
    <d v="2024-10-30T00:00:00"/>
    <d v="1899-12-30T07:00:00"/>
    <m/>
    <x v="150"/>
    <n v="1.6"/>
    <m/>
    <s v="no FC filled"/>
    <n v="52963995"/>
    <m/>
    <m/>
    <s v="N/A"/>
    <s v="no AIR"/>
    <s v="no AIR"/>
    <s v="no AIR"/>
    <x v="0"/>
    <x v="0"/>
    <x v="0"/>
    <m/>
    <m/>
    <x v="5"/>
    <x v="5"/>
    <x v="0"/>
  </r>
  <r>
    <s v="EZ60"/>
    <s v="Intel"/>
    <x v="74"/>
    <n v="44"/>
    <n v="2444"/>
    <d v="2024-10-29T00:00:00"/>
    <m/>
    <d v="1899-12-30T15:30:00"/>
    <x v="86"/>
    <n v="2.0499999999999998"/>
    <s v="FC-001"/>
    <s v="SDLG "/>
    <n v="52964009"/>
    <s v="P831642"/>
    <s v="P831642"/>
    <s v="Y"/>
    <s v="WH"/>
    <s v="[EZ60][3800] Persistent DH-08F7 and DH-08FE alarms"/>
    <s v="[intake 2449]"/>
    <x v="0"/>
    <x v="2"/>
    <x v="0"/>
    <m/>
    <m/>
    <x v="5"/>
    <x v="5"/>
    <x v="0"/>
  </r>
  <r>
    <s v="AJ99"/>
    <s v="SEC"/>
    <x v="2"/>
    <n v="44"/>
    <n v="2444"/>
    <d v="2024-10-29T00:00:00"/>
    <d v="1899-12-30T22:17:00"/>
    <m/>
    <x v="151"/>
    <n v="1"/>
    <m/>
    <s v="no FC filled"/>
    <n v="52963805"/>
    <m/>
    <m/>
    <s v="N/A"/>
    <s v="no AIR"/>
    <s v="no AIR"/>
    <s v="no AIR"/>
    <x v="0"/>
    <x v="0"/>
    <x v="0"/>
    <m/>
    <m/>
    <x v="5"/>
    <x v="5"/>
    <x v="0"/>
  </r>
  <r>
    <s v="AJ99"/>
    <s v="SEC"/>
    <x v="45"/>
    <n v="44"/>
    <n v="2444"/>
    <d v="2024-10-28T00:00:00"/>
    <m/>
    <d v="1899-12-30T06:11:33"/>
    <x v="152"/>
    <n v="3.65"/>
    <s v="FC-065"/>
    <s v="MKWQ"/>
    <n v="52958596"/>
    <s v="P827649"/>
    <s v="P827649"/>
    <s v="Y"/>
    <s v="ME"/>
    <s v="[PH8585] KGHDMI tasks died unexpectedly"/>
    <s v="[intake 2443]_x000a_wk2443.2 2 hits seen at SEC and 1 at Intel. This issue is seen AFTER installing SP36 with P734065 fixes. Traces now running on mAJ99 to gather data_x000a_Wk46: RCA ongoing_x000a_wk46.3: Solutoin direction still not clear. Monitor for next hit_x000a_wk47.3: Hi"/>
    <x v="0"/>
    <x v="2"/>
    <x v="0"/>
    <m/>
    <m/>
    <x v="0"/>
    <x v="0"/>
    <x v="0"/>
  </r>
  <r>
    <s v="AJ99"/>
    <s v="SEC"/>
    <x v="53"/>
    <n v="44"/>
    <n v="2444"/>
    <d v="2024-10-28T00:00:00"/>
    <d v="1899-12-30T19:10:00"/>
    <m/>
    <x v="65"/>
    <n v="1.7"/>
    <s v="FC-028"/>
    <s v="not found"/>
    <n v="52955110"/>
    <s v="P817595"/>
    <s v="P817595"/>
    <s v="Y"/>
    <s v="MA"/>
    <s v="Cannot start/stop lot queue due to &quot;Lot operation&quot; window hangup"/>
    <s v="[intake 2447]"/>
    <x v="0"/>
    <x v="0"/>
    <x v="0"/>
    <m/>
    <m/>
    <x v="0"/>
    <x v="0"/>
    <x v="0"/>
  </r>
  <r>
    <s v="AJ99"/>
    <s v="SEC"/>
    <x v="68"/>
    <n v="44"/>
    <n v="2444"/>
    <d v="2024-10-28T00:00:00"/>
    <d v="1899-12-30T18:19:12"/>
    <m/>
    <x v="153"/>
    <n v="3.4"/>
    <s v="FC-006"/>
    <s v="MKWQ"/>
    <n v="52962312"/>
    <s v="P830444"/>
    <s v="P830444"/>
    <s v="Y"/>
    <s v="not found"/>
    <s v="not found"/>
    <s v="not found"/>
    <x v="0"/>
    <x v="0"/>
    <x v="0"/>
    <s v="AIR aborted since the issue is thought as a wrong recipe setting. But recured on WK45 (Customer accountable)"/>
    <m/>
    <x v="0"/>
    <x v="0"/>
    <x v="0"/>
  </r>
  <r>
    <s v="AJ99"/>
    <s v="SEC"/>
    <x v="75"/>
    <n v="44"/>
    <n v="2444"/>
    <d v="2024-10-28T00:00:00"/>
    <d v="1899-12-30T13:06:12"/>
    <m/>
    <x v="154"/>
    <n v="0.5"/>
    <s v="FC-028"/>
    <s v="not found"/>
    <n v="52961944"/>
    <s v="P824258"/>
    <s v="P824258"/>
    <s v="Y"/>
    <s v="not found"/>
    <s v="not found"/>
    <s v="not found"/>
    <x v="0"/>
    <x v="0"/>
    <x v="0"/>
    <m/>
    <m/>
    <x v="0"/>
    <x v="0"/>
    <x v="0"/>
  </r>
  <r>
    <s v="AJ99"/>
    <s v="SEC"/>
    <x v="7"/>
    <n v="44"/>
    <n v="2444"/>
    <d v="2024-10-28T00:00:00"/>
    <d v="1899-12-30T12:28:59"/>
    <m/>
    <x v="155"/>
    <n v="1"/>
    <s v="FC-004"/>
    <s v="ANHG"/>
    <n v="52961909"/>
    <s v="P769419"/>
    <s v="P769419"/>
    <s v="Y"/>
    <s v="KW"/>
    <s v="[CS Prio - CN]multiple machine suffer PAAC ADC communication error "/>
    <s v="[intake 2449]"/>
    <x v="0"/>
    <x v="0"/>
    <x v="0"/>
    <s v="DTOM: Linked to leading"/>
    <m/>
    <x v="0"/>
    <x v="0"/>
    <x v="0"/>
  </r>
  <r>
    <s v="AJ99"/>
    <s v="SEC"/>
    <x v="76"/>
    <n v="44"/>
    <n v="2444"/>
    <d v="2024-10-28T00:00:00"/>
    <d v="1899-12-30T07:55:10"/>
    <m/>
    <x v="156"/>
    <n v="1.2"/>
    <s v="FC-003"/>
    <s v="JHVD "/>
    <s v="52961570​"/>
    <s v="P818116"/>
    <s v="P818116"/>
    <s v="Y"/>
    <s v="not found"/>
    <s v="not found"/>
    <s v="not found"/>
    <x v="0"/>
    <x v="0"/>
    <x v="0"/>
    <s v="JHVD: AIR P714816 is aborted. Updated link to AIR P818116 that describes the same (sub)-error"/>
    <m/>
    <x v="0"/>
    <x v="4"/>
    <x v="0"/>
  </r>
  <r>
    <s v="ET18"/>
    <s v="TSMC"/>
    <x v="54"/>
    <n v="43"/>
    <n v="2443"/>
    <d v="2024-10-27T00:00:00"/>
    <d v="1899-12-30T17:42:32"/>
    <m/>
    <x v="157"/>
    <n v="0.5"/>
    <s v="FC-078"/>
    <s v="KNGN"/>
    <n v="52924323"/>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0"/>
    <x v="0"/>
    <m/>
    <m/>
    <x v="0"/>
    <x v="4"/>
    <x v="0"/>
  </r>
  <r>
    <s v="EZ60"/>
    <s v="Intel"/>
    <x v="77"/>
    <n v="43"/>
    <n v="2443"/>
    <d v="2024-10-27T00:00:00"/>
    <d v="1899-12-30T14:47:28"/>
    <m/>
    <x v="158"/>
    <n v="13"/>
    <s v="FC-008"/>
    <s v="MKWQ"/>
    <n v="52961356"/>
    <s v="P829669"/>
    <s v="P829669"/>
    <s v="Y"/>
    <s v="not found"/>
    <s v="not found"/>
    <s v="not found"/>
    <x v="0"/>
    <x v="0"/>
    <x v="0"/>
    <m/>
    <m/>
    <x v="0"/>
    <x v="0"/>
    <x v="1"/>
  </r>
  <r>
    <s v="EZ60"/>
    <s v="Intel"/>
    <x v="15"/>
    <n v="43"/>
    <n v="2443"/>
    <d v="2024-10-26T00:00:00"/>
    <d v="1899-12-30T03:33:42"/>
    <d v="1899-12-30T08:38:00"/>
    <x v="159"/>
    <n v="19.25"/>
    <s v="FC-001"/>
    <s v="SDLG "/>
    <n v="52961066"/>
    <s v="P830307"/>
    <s v="P830307"/>
    <s v="Y"/>
    <s v="WH"/>
    <s v="MLET times out with WX-802A, TEL in error due to wafer shift on DU"/>
    <s v=""/>
    <x v="0"/>
    <x v="2"/>
    <x v="0"/>
    <m/>
    <m/>
    <x v="1"/>
    <x v="0"/>
    <x v="1"/>
  </r>
  <r>
    <s v="EZ60"/>
    <s v="Intel"/>
    <x v="78"/>
    <n v="43"/>
    <n v="2443"/>
    <d v="2024-10-26T00:00:00"/>
    <d v="1899-12-30T21:17:18"/>
    <m/>
    <x v="160"/>
    <n v="6"/>
    <s v="FC-010"/>
    <s v="ARWY "/>
    <n v="52961288"/>
    <s v="P709982"/>
    <s v="P709982"/>
    <s v="Y"/>
    <s v="UN"/>
    <s v="startup drivers fails on: MG-2E0F send_command:Communication error with MC EIAR_MC1 semaphore take timeout=5000 or FM-030D An HSSL timeout occured"/>
    <s v=""/>
    <x v="0"/>
    <x v="0"/>
    <x v="0"/>
    <s v="Wk44.1 [RMON] Leading AIR P607615, design change on EILR done to resolve the MJDO error issue, tested on Pr23. Ongoing alpha/beta test plan on pilot system. EILR on EZ60 will be upgraded but schedule is not available yet.- This is the remark from SO. This AIR ID is not linked with P709982"/>
    <m/>
    <x v="0"/>
    <x v="4"/>
    <x v="0"/>
  </r>
  <r>
    <s v="EZ60"/>
    <s v="Intel"/>
    <x v="79"/>
    <n v="43"/>
    <n v="2443"/>
    <d v="2024-10-26T00:00:00"/>
    <d v="1899-12-30T03:30:00"/>
    <m/>
    <x v="161"/>
    <m/>
    <m/>
    <s v="no FC filled"/>
    <m/>
    <s v="P830307"/>
    <s v="P830307"/>
    <s v="Y"/>
    <s v="WH"/>
    <s v="MLET times out with WX-802A, TEL in error due to wafer shift on DU"/>
    <s v=""/>
    <x v="0"/>
    <x v="0"/>
    <x v="0"/>
    <m/>
    <m/>
    <x v="0"/>
    <x v="0"/>
    <x v="0"/>
  </r>
  <r>
    <s v="ET18"/>
    <s v="TSMC"/>
    <x v="80"/>
    <n v="43"/>
    <n v="2443"/>
    <d v="2024-10-25T00:00:00"/>
    <m/>
    <d v="1899-12-30T17:50:00"/>
    <x v="162"/>
    <n v="0.69"/>
    <s v="FC-012"/>
    <s v="ARWY "/>
    <n v="52962260"/>
    <s v="P803536"/>
    <s v="P803536"/>
    <s v="Y"/>
    <s v="PR"/>
    <s v="PMHC HLQB LD4 release for several quality and design issues"/>
    <s v="[PMHC LD4] PMHC#42 (wk5)"/>
    <x v="0"/>
    <x v="2"/>
    <x v="0"/>
    <s v="The AIR mentioned in this file "/>
    <m/>
    <x v="0"/>
    <x v="0"/>
    <x v="0"/>
  </r>
  <r>
    <s v="AJ99"/>
    <s v="SEC"/>
    <x v="20"/>
    <n v="43"/>
    <n v="2443"/>
    <d v="2024-10-25T00:00:00"/>
    <d v="1899-12-30T00:02:57"/>
    <m/>
    <x v="144"/>
    <n v="3"/>
    <s v="FC-071"/>
    <s v="JMTP "/>
    <n v="52959574"/>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0"/>
    <x v="0"/>
    <m/>
    <m/>
    <x v="0"/>
    <x v="4"/>
    <x v="0"/>
  </r>
  <r>
    <s v="AJ99"/>
    <s v="SEC"/>
    <x v="45"/>
    <n v="43"/>
    <n v="2443"/>
    <d v="2024-10-24T00:00:00"/>
    <d v="1899-12-30T05:30:20"/>
    <d v="1899-12-30T05:27:41"/>
    <x v="152"/>
    <n v="1.71"/>
    <s v="FC-065"/>
    <s v="MKWQ"/>
    <n v="52958596"/>
    <s v="P827649"/>
    <s v="P827649"/>
    <s v="Y"/>
    <s v="ME"/>
    <s v="[PH8585] KGHDMI tasks died unexpectedly"/>
    <s v="[intake 2443]_x000a_wk2443.2 2 hits seen at SEC and 1 at Intel. This issue is seen AFTER installing SP36 with P734065 fixes. Traces now running on mAJ99 to gather data_x000a_Wk46: RCA ongoing_x000a_wk46.3: Solutoin direction still not clear. Monitor for next hit_x000a_wk47.3: Hi"/>
    <x v="0"/>
    <x v="2"/>
    <x v="0"/>
    <s v="DTOM: changed AIR to new AIR (was P734065, which is already solved in SP36). New AIR is opened to investigate why this still occurs after SP36 patch install"/>
    <m/>
    <x v="2"/>
    <x v="1"/>
    <x v="0"/>
  </r>
  <r>
    <s v="ET18"/>
    <s v="TSMC"/>
    <x v="81"/>
    <n v="43"/>
    <n v="2443"/>
    <d v="2024-10-23T00:00:00"/>
    <d v="1899-12-30T16:55:00"/>
    <d v="1899-12-30T17:55:00"/>
    <x v="163"/>
    <n v="1.48"/>
    <s v="FC-028"/>
    <s v="not found"/>
    <n v="52962262"/>
    <s v="P831086"/>
    <s v="P831086"/>
    <s v="Y"/>
    <s v="not found"/>
    <s v="not found"/>
    <s v="not found"/>
    <x v="0"/>
    <x v="0"/>
    <x v="0"/>
    <m/>
    <m/>
    <x v="0"/>
    <x v="0"/>
    <x v="0"/>
  </r>
  <r>
    <s v="ET18"/>
    <s v="TSMC"/>
    <x v="18"/>
    <n v="43"/>
    <n v="2443"/>
    <d v="2024-10-23T00:00:00"/>
    <d v="1899-12-30T16:08:22"/>
    <d v="1899-12-30T16:08:22"/>
    <x v="164"/>
    <n v="0.81"/>
    <s v="FC-001"/>
    <s v="SDLG "/>
    <n v="52962159"/>
    <s v="P831047"/>
    <s v="P831047"/>
    <s v="Y"/>
    <s v="WH"/>
    <s v="[ET18] - Lot aborted by WH-3104"/>
    <s v="[intake 2444]_x000a_wk47.2: Consider as new issue. _x000a_wk46.5: WH project to check if this can be linked to already known issue"/>
    <x v="0"/>
    <x v="0"/>
    <x v="0"/>
    <m/>
    <m/>
    <x v="0"/>
    <x v="0"/>
    <x v="0"/>
  </r>
  <r>
    <s v="ET18"/>
    <s v="TSMC"/>
    <x v="60"/>
    <n v="43"/>
    <n v="2443"/>
    <d v="2024-10-23T00:00:00"/>
    <d v="1899-12-30T22:25:10"/>
    <m/>
    <x v="165"/>
    <n v="0.5"/>
    <s v="FC-010"/>
    <s v="ARWY "/>
    <m/>
    <m/>
    <s v="P831878"/>
    <s v="N/A"/>
    <s v="no AIR"/>
    <s v="no AIR"/>
    <s v="no AIR"/>
    <x v="0"/>
    <x v="0"/>
    <x v="0"/>
    <s v="Contained by driver re-initialization"/>
    <m/>
    <x v="0"/>
    <x v="0"/>
    <x v="0"/>
  </r>
  <r>
    <s v="ET18"/>
    <s v="TSMC"/>
    <x v="82"/>
    <n v="43"/>
    <n v="2443"/>
    <d v="2024-10-23T00:00:00"/>
    <d v="1899-12-30T04:25:30"/>
    <m/>
    <x v="166"/>
    <n v="1.4"/>
    <s v="FC-063"/>
    <s v="MKWQ"/>
    <n v="52935847"/>
    <s v="P800469"/>
    <s v="P800469"/>
    <s v="Y"/>
    <s v="ME"/>
    <s v="Pi8 WafCar lot aborted due to root error KI-6206 'The AbCoM measurement quality was too low'"/>
    <s v="[Intake 2437]_x000a_wk44.3: First code expected wk44.5, testing wk45. So still under review if we can meet plan (only SP38 9k)_x000a_wk42.3: SP37 + SP38 9k, customer release wk47 and wk46.4 QBL delivery. Check back on when SP38 rolls out to field  _x000a_wk41.3 Solution ph"/>
    <x v="0"/>
    <x v="0"/>
    <x v="0"/>
    <m/>
    <m/>
    <x v="0"/>
    <x v="4"/>
    <x v="0"/>
  </r>
  <r>
    <s v="ET18"/>
    <s v="TSMC"/>
    <x v="64"/>
    <n v="43"/>
    <n v="2443"/>
    <d v="2024-10-22T00:00:00"/>
    <d v="1899-12-30T19:27:36"/>
    <d v="1899-12-30T19:50:00"/>
    <x v="167"/>
    <n v="2.0099999999999998"/>
    <s v="FC-076"/>
    <s v="KNGN"/>
    <n v="52962219"/>
    <s v="P807774"/>
    <s v="P807774"/>
    <s v="Y"/>
    <s v="DC"/>
    <s v="[E100] Lot fails on DW-5C00/ DW-5A01 error due to +/-2 wbin mismatch (E100 FW containment) (KH72, JF75) SP40"/>
    <s v="[intake 2437]_x000a_wk38.3: Linked to P805764_x000a_wk37.3: RC known and solution already available in SPA 140v2 - 614017_x000a_wk2437.1 New hit seen on Pi10 during reliab (Wafer reject only)"/>
    <x v="2"/>
    <x v="2"/>
    <x v="0"/>
    <m/>
    <m/>
    <x v="0"/>
    <x v="4"/>
    <x v="0"/>
  </r>
  <r>
    <s v="ET18"/>
    <s v="TSMC"/>
    <x v="64"/>
    <n v="43"/>
    <n v="2443"/>
    <d v="2024-10-22T00:00:00"/>
    <d v="1899-12-30T16:07:25"/>
    <d v="1899-12-30T16:02:45"/>
    <x v="168"/>
    <n v="0.61"/>
    <s v="FC-009"/>
    <s v="MKWQ"/>
    <n v="52956806"/>
    <s v="P807774"/>
    <s v="P807774"/>
    <s v="Y"/>
    <s v="DC"/>
    <s v="[E100] Lot fails on DW-5C00/ DW-5A01 error due to +/-2 wbin mismatch (E100 FW containment) (KH72, JF75) SP40"/>
    <s v="[intake 2437]_x000a_wk38.3: Linked to P805764_x000a_wk37.3: RC known and solution already available in SPA 140v2 - 614017_x000a_wk2437.1 New hit seen on Pi10 during reliab (Wafer reject only)"/>
    <x v="2"/>
    <x v="2"/>
    <x v="0"/>
    <m/>
    <m/>
    <x v="0"/>
    <x v="4"/>
    <x v="0"/>
  </r>
  <r>
    <s v="ET18"/>
    <s v="TSMC"/>
    <x v="65"/>
    <n v="43"/>
    <n v="2443"/>
    <d v="2024-10-22T00:00:00"/>
    <d v="1899-12-30T11:25:03"/>
    <d v="1899-12-30T11:52:52"/>
    <x v="169"/>
    <n v="0.87"/>
    <s v="FC-002"/>
    <s v="ANHG"/>
    <n v="52958084"/>
    <s v="P831095"/>
    <s v="P831095"/>
    <s v="Y"/>
    <s v="RH"/>
    <s v="[ET18] - Run HREUCC suffered CN-00A5 (RUBIAPP) and task died"/>
    <s v="[intake 24447]_x000a_wk50.3: Real time tracing added to tool. Monitor for next hit"/>
    <x v="0"/>
    <x v="2"/>
    <x v="0"/>
    <m/>
    <m/>
    <x v="0"/>
    <x v="0"/>
    <x v="0"/>
  </r>
  <r>
    <s v="ET18"/>
    <s v="TSMC"/>
    <x v="64"/>
    <n v="43"/>
    <n v="2443"/>
    <d v="2024-10-22T00:00:00"/>
    <d v="1899-12-30T15:54:46"/>
    <m/>
    <x v="170"/>
    <n v="2.5"/>
    <s v="FC-009"/>
    <s v="MKWQ"/>
    <n v="52946165"/>
    <s v="P807774"/>
    <s v="P807774"/>
    <s v="Y"/>
    <s v="DC"/>
    <s v="[E100] Lot fails on DW-5C00/ DW-5A01 error due to +/-2 wbin mismatch (E100 FW containment) (KH72, JF75) SP40"/>
    <s v="[intake 2437]_x000a_wk38.3: Linked to P805764_x000a_wk37.3: RC known and solution already available in SPA 140v2 - 614017_x000a_wk2437.1 New hit seen on Pi10 during reliab (Wafer reject only)"/>
    <x v="0"/>
    <x v="0"/>
    <x v="0"/>
    <s v="4 hits in one day"/>
    <m/>
    <x v="0"/>
    <x v="4"/>
    <x v="0"/>
  </r>
  <r>
    <s v="ET18"/>
    <s v="TSMC"/>
    <x v="17"/>
    <n v="43"/>
    <n v="2443"/>
    <d v="2024-10-22T00:00:00"/>
    <d v="1899-12-30T10:16:14"/>
    <m/>
    <x v="171"/>
    <n v="0.5"/>
    <s v="FC-071"/>
    <s v="JMTP "/>
    <m/>
    <m/>
    <s v=""/>
    <s v="N/A"/>
    <s v="no AIR"/>
    <s v="no AIR"/>
    <s v="no AIR"/>
    <x v="0"/>
    <x v="0"/>
    <x v="0"/>
    <m/>
    <m/>
    <x v="0"/>
    <x v="0"/>
    <x v="0"/>
  </r>
  <r>
    <s v="EZ60"/>
    <s v="Intel"/>
    <x v="25"/>
    <n v="43"/>
    <n v="2443"/>
    <d v="2024-10-21T00:00:00"/>
    <d v="1899-12-30T17:32:56"/>
    <m/>
    <x v="172"/>
    <n v="0.5"/>
    <s v="FC-012"/>
    <s v="ARWY "/>
    <n v="52956628"/>
    <s v="P815534"/>
    <s v="P815534"/>
    <s v="Y"/>
    <s v="PR"/>
    <s v="[3800][EZ60] PG-6208 [PXxAVS:Ctrl.X.FB.ChkError]  Servo error: steady state position error. "/>
    <s v="[intake 2437]_x000a_wk44.3: 'False earthquake detection'. 2 different hits (1x vibration in airmount triggered AVIS to open loop, 1x hit when system idle will be targetted with this AIR wk45.3)_x000a_wk41.3: No follow up done. Stuck at waiting for info _x000a_wk40.3: RC ex"/>
    <x v="0"/>
    <x v="0"/>
    <x v="0"/>
    <m/>
    <m/>
    <x v="0"/>
    <x v="4"/>
    <x v="0"/>
  </r>
  <r>
    <s v="EZ60"/>
    <s v="Intel"/>
    <x v="20"/>
    <n v="43"/>
    <n v="2443"/>
    <d v="2024-10-21T00:00:00"/>
    <d v="1899-12-30T00:18:58"/>
    <m/>
    <x v="173"/>
    <n v="2.68"/>
    <s v="FC-071"/>
    <s v="JMTP "/>
    <n v="52954491"/>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0"/>
    <x v="4"/>
    <x v="0"/>
  </r>
  <r>
    <s v="AJ99"/>
    <s v="SEC"/>
    <x v="15"/>
    <n v="42"/>
    <n v="2442"/>
    <d v="2024-10-20T00:00:00"/>
    <d v="1899-12-30T18:14:09"/>
    <s v="N/A"/>
    <x v="174"/>
    <n v="0.8"/>
    <s v="FC-001"/>
    <s v="SDLG "/>
    <n v="52931244"/>
    <s v="P821228"/>
    <s v="P821228"/>
    <s v="Y"/>
    <s v="WH"/>
    <s v="LOT stuck on WX-802A for 2.5 hours"/>
    <s v="[intake 2440]_x000a_wk46.5: SRGC to check with SE how to solve this since it is Track related"/>
    <x v="0"/>
    <x v="0"/>
    <x v="0"/>
    <s v="Reset track with customer issue"/>
    <m/>
    <x v="0"/>
    <x v="4"/>
    <x v="0"/>
  </r>
  <r>
    <s v="AJ99"/>
    <s v="SEC"/>
    <x v="83"/>
    <n v="42"/>
    <n v="2442"/>
    <d v="2024-10-19T00:00:00"/>
    <d v="1899-12-30T13:28:16"/>
    <s v="N/A"/>
    <x v="175"/>
    <n v="1"/>
    <s v="FC-076"/>
    <s v="KNGN"/>
    <n v="52955359"/>
    <s v="P768805"/>
    <s v="P768805"/>
    <s v="Y"/>
    <s v="not found"/>
    <s v="not found"/>
    <s v="not found"/>
    <x v="0"/>
    <x v="0"/>
    <x v="0"/>
    <m/>
    <m/>
    <x v="0"/>
    <x v="4"/>
    <x v="0"/>
  </r>
  <r>
    <s v="AJ99"/>
    <s v="SEC"/>
    <x v="20"/>
    <n v="42"/>
    <n v="2442"/>
    <d v="2024-10-19T00:00:00"/>
    <d v="1899-12-30T12:10:45"/>
    <s v="N/A"/>
    <x v="176"/>
    <n v="1"/>
    <s v="FC-071"/>
    <s v="JMTP "/>
    <n v="52955371"/>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0"/>
    <x v="0"/>
    <s v="It happened during Scheduled down"/>
    <m/>
    <x v="0"/>
    <x v="4"/>
    <x v="0"/>
  </r>
  <r>
    <s v="AJ99"/>
    <s v="SEC"/>
    <x v="84"/>
    <n v="42"/>
    <n v="2442"/>
    <d v="2024-10-18T00:00:00"/>
    <d v="1899-12-30T23:59:00"/>
    <s v="N/A"/>
    <x v="177"/>
    <n v="0.7"/>
    <s v="FC-025"/>
    <s v="STRG"/>
    <n v="52955110"/>
    <m/>
    <s v=""/>
    <s v="N/A"/>
    <s v="no AIR"/>
    <s v="no AIR"/>
    <s v="no AIR"/>
    <x v="0"/>
    <x v="0"/>
    <x v="0"/>
    <s v="It happened just after track fail because of customer issue"/>
    <m/>
    <x v="0"/>
    <x v="0"/>
    <x v="0"/>
  </r>
  <r>
    <s v="AJ99"/>
    <s v="SEC"/>
    <x v="15"/>
    <n v="42"/>
    <n v="2442"/>
    <d v="2024-10-18T00:00:00"/>
    <d v="1899-12-30T21:46:00"/>
    <s v="N/A"/>
    <x v="174"/>
    <n v="2.2000000000000002"/>
    <s v="FC-001"/>
    <s v="SDLG "/>
    <n v="52931244"/>
    <s v="P821228"/>
    <s v="P821228"/>
    <s v="Y"/>
    <s v="WH"/>
    <s v="LOT stuck on WX-802A for 2.5 hours"/>
    <s v="[intake 2440]_x000a_wk46.5: SRGC to check with SE how to solve this since it is Track related"/>
    <x v="0"/>
    <x v="0"/>
    <x v="0"/>
    <s v="Reset track with customer issue"/>
    <m/>
    <x v="0"/>
    <x v="4"/>
    <x v="0"/>
  </r>
  <r>
    <s v="AJ99"/>
    <s v="SEC"/>
    <x v="30"/>
    <n v="42"/>
    <n v="2442"/>
    <d v="2024-10-17T00:00:00"/>
    <d v="1899-12-30T07:34:26"/>
    <s v="N/A"/>
    <x v="178"/>
    <n v="0.5"/>
    <s v="FC-003"/>
    <s v="JHVD "/>
    <s v="52952918​"/>
    <s v="P760446"/>
    <s v="P760446"/>
    <s v="Y"/>
    <s v="KW"/>
    <s v="[VDH][BTR4] Error detected in SSRL interface to CARM rack. The MPAC4 PLL reports a lock error "/>
    <s v="[intake 2438.5]_x000a_wk40.3: PLL lock issue. BTR4 testtime required. Potentially delivery plan in 2wks. Confirm planning wk41.3_x000a_wk39.3: Issue to be reproduced in BTR4 _x000a_wk27.2: Diag issues still ongoing. Come back in a week _x000a_wk26.4: Testing moved to system from"/>
    <x v="0"/>
    <x v="0"/>
    <x v="0"/>
    <m/>
    <m/>
    <x v="0"/>
    <x v="0"/>
    <x v="0"/>
  </r>
  <r>
    <s v="AJ99"/>
    <s v="SEC"/>
    <x v="20"/>
    <n v="42"/>
    <n v="2442"/>
    <d v="2024-10-17T00:00:00"/>
    <d v="1899-12-30T00:25:30"/>
    <d v="1899-12-30T00:25:21"/>
    <x v="179"/>
    <n v="3.17"/>
    <s v="FC-071"/>
    <s v="JMTP "/>
    <n v="52952438"/>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m/>
    <m/>
    <x v="0"/>
    <x v="0"/>
    <x v="0"/>
  </r>
  <r>
    <s v="ET18"/>
    <s v="TSMC"/>
    <x v="54"/>
    <n v="42"/>
    <n v="2442"/>
    <d v="2024-10-17T00:00:00"/>
    <d v="1899-12-30T12:06:17"/>
    <m/>
    <x v="180"/>
    <n v="0.5"/>
    <s v="FC-078"/>
    <s v="KNGN"/>
    <n v="52924323"/>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0"/>
    <x v="0"/>
    <m/>
    <m/>
    <x v="0"/>
    <x v="4"/>
    <x v="0"/>
  </r>
  <r>
    <s v="AJ99"/>
    <s v="SEC"/>
    <x v="30"/>
    <n v="42"/>
    <n v="2442"/>
    <d v="2024-10-16T00:00:00"/>
    <d v="1899-12-30T20:46:18"/>
    <s v="N/A"/>
    <x v="181"/>
    <n v="0.5"/>
    <s v="FC-003"/>
    <s v="JHVD "/>
    <n v="52946503"/>
    <s v="P724863"/>
    <s v="P724863"/>
    <s v="Y"/>
    <s v="WS"/>
    <s v="LCW Pressure sensor P1&amp;P2 spike issue "/>
    <s v="[intake 2343]_x000a_wk44.3: Delayed dure to SSB5 work. External relase wk50.3_x000a_wk40.3:On track. Internal release wk47.4 12:00, wk48.3 external release"/>
    <x v="0"/>
    <x v="0"/>
    <x v="0"/>
    <m/>
    <m/>
    <x v="0"/>
    <x v="0"/>
    <x v="0"/>
  </r>
  <r>
    <s v="AJ99"/>
    <s v="SEC"/>
    <x v="0"/>
    <n v="42"/>
    <n v="2442"/>
    <d v="2024-10-15T00:00:00"/>
    <s v="N/A"/>
    <s v="N/A"/>
    <x v="182"/>
    <m/>
    <m/>
    <s v="no FC filled"/>
    <m/>
    <s v="P729579"/>
    <s v="P729579"/>
    <s v="Y"/>
    <s v="not found"/>
    <s v="not found"/>
    <s v="not found"/>
    <x v="0"/>
    <x v="0"/>
    <x v="0"/>
    <s v="No machine down"/>
    <m/>
    <x v="0"/>
    <x v="0"/>
    <x v="0"/>
  </r>
  <r>
    <s v="ET18"/>
    <s v="TSMC"/>
    <x v="85"/>
    <n v="42"/>
    <n v="2442"/>
    <d v="2024-10-15T00:00:00"/>
    <d v="1899-12-30T20:54:01"/>
    <d v="1899-12-30T20:54:32"/>
    <x v="183"/>
    <n v="1.7"/>
    <s v="FC-009"/>
    <s v="MKWQ"/>
    <n v="52956806"/>
    <s v="P829162"/>
    <s v="P829162"/>
    <s v="Y"/>
    <s v="DC"/>
    <s v="[NXE3800E100] ET18 SRC state transition fails by BP-2A36"/>
    <s v="[intake 2442]_x000a_wk50.3: Solution direciton still not known. Project to investigate the risk. Monitor till wk2502"/>
    <x v="2"/>
    <x v="2"/>
    <x v="0"/>
    <m/>
    <m/>
    <x v="1"/>
    <x v="4"/>
    <x v="0"/>
  </r>
  <r>
    <s v="AJ99"/>
    <s v="SEC"/>
    <x v="86"/>
    <n v="42"/>
    <n v="2442"/>
    <d v="2024-10-15T00:00:00"/>
    <m/>
    <d v="1899-12-30T00:04:05"/>
    <x v="184"/>
    <n v="0.1"/>
    <s v="FC-009"/>
    <s v="MKWQ"/>
    <m/>
    <m/>
    <m/>
    <m/>
    <s v="n/a"/>
    <s v="n/a"/>
    <s v="n/a"/>
    <x v="0"/>
    <x v="2"/>
    <x v="0"/>
    <s v="SEDV: (WK46.5)Engineer updated MC wrongly for IRDG during Tin refill which leads to MX action fail because of IRDG driver initiatilization fail"/>
    <s v="Y"/>
    <x v="4"/>
    <x v="5"/>
    <x v="0"/>
  </r>
  <r>
    <s v="ET18"/>
    <s v="TSMC"/>
    <x v="85"/>
    <n v="42"/>
    <n v="2442"/>
    <d v="2024-10-15T00:00:00"/>
    <d v="1899-12-30T20:17:45"/>
    <m/>
    <x v="185"/>
    <n v="2"/>
    <s v="FC-071"/>
    <s v="JMTP "/>
    <n v="52940129"/>
    <m/>
    <s v=""/>
    <s v="N/A"/>
    <s v="no AIR"/>
    <s v="no AIR"/>
    <s v="no AIR"/>
    <x v="0"/>
    <x v="0"/>
    <x v="0"/>
    <s v="Seems as a part quality issue. To be tracked"/>
    <m/>
    <x v="1"/>
    <x v="0"/>
    <x v="0"/>
  </r>
  <r>
    <s v="EZ60"/>
    <s v="Intel"/>
    <x v="20"/>
    <n v="41"/>
    <n v="2441"/>
    <d v="2024-10-13T00:00:00"/>
    <d v="1899-12-30T00:23:04"/>
    <d v="1899-12-30T00:22:48"/>
    <x v="186"/>
    <n v="1.7"/>
    <s v="FC-071"/>
    <s v="JMTP "/>
    <n v="52949090"/>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2"/>
    <x v="2"/>
    <x v="0"/>
    <m/>
    <m/>
    <x v="0"/>
    <x v="4"/>
    <x v="0"/>
  </r>
  <r>
    <s v="EZ60"/>
    <s v="Intel"/>
    <x v="87"/>
    <n v="41"/>
    <n v="2441"/>
    <d v="2024-10-11T00:00:00"/>
    <m/>
    <d v="1899-12-30T13:38:00"/>
    <x v="187"/>
    <n v="1.2"/>
    <s v="FC-002"/>
    <s v="ANHG"/>
    <n v="52948279"/>
    <s v="P830711"/>
    <s v="P830711"/>
    <s v="Y"/>
    <s v="RH"/>
    <s v="[EZ60] - MTBF Hits - RU-0938 Recovery Error | RH Port Guard Sensor"/>
    <s v="[intake 2447]"/>
    <x v="0"/>
    <x v="2"/>
    <x v="0"/>
    <m/>
    <m/>
    <x v="1"/>
    <x v="0"/>
    <x v="0"/>
  </r>
  <r>
    <s v="AJ99"/>
    <s v="SEC"/>
    <x v="35"/>
    <n v="41"/>
    <n v="2441"/>
    <d v="2024-10-11T00:00:00"/>
    <d v="1899-12-30T05:53:29"/>
    <d v="1899-12-30T05:39:39"/>
    <x v="188"/>
    <n v="5.49"/>
    <s v="FC-001"/>
    <s v="SDLG "/>
    <n v="52947421"/>
    <s v="P828954"/>
    <s v="P828954"/>
    <s v="Y"/>
    <s v="WH"/>
    <s v="ET18 - XLD - SUR X5 connection disconnected too easily, causing PG-6206 errors"/>
    <s v=""/>
    <x v="0"/>
    <x v="2"/>
    <x v="0"/>
    <s v="Motor Cable for KCM was Disconnected"/>
    <m/>
    <x v="0"/>
    <x v="0"/>
    <x v="0"/>
  </r>
  <r>
    <s v="EZ60"/>
    <s v="Intel"/>
    <x v="88"/>
    <n v="41"/>
    <n v="2441"/>
    <d v="2024-10-11T00:00:00"/>
    <d v="1899-12-30T00:41:34"/>
    <d v="1899-12-30T02:20:01"/>
    <x v="189"/>
    <n v="1.58"/>
    <s v="FC-001"/>
    <s v="MFSX"/>
    <n v="52919238"/>
    <s v="P779017"/>
    <s v="P779017"/>
    <s v="Y"/>
    <s v="WH"/>
    <s v="[BTR4] WAFCAR failed on OO-000B 'Lost connection detected in handler function'"/>
    <s v="[Intake 2419][status g]_x000a_wk20.4 Aborted, to be cashed wk21"/>
    <x v="2"/>
    <x v="2"/>
    <x v="0"/>
    <s v="ANHG: wk2442.1 - could not get confirmation on AIR, reached out to FC (SDXA) for clarification and he will get back to us with confirmation from software team_x000a_ANHG: FC confirmed we do need WX-8026 together with CN-0008 to link it to P784950, which might indicate this is the incorrect AIR and further investigation is needed_x000a_MFSX-wk2442.4: I can see OO-000B happening several times at this incident. The machine looses connection to two VS PLCs (VSAP_PLC, VSDI_PLC) and Loadlock2 (WXLL2). It looks a bit similar to P779017."/>
    <m/>
    <x v="0"/>
    <x v="4"/>
    <x v="0"/>
  </r>
  <r>
    <s v="EZ60"/>
    <s v="Intel"/>
    <x v="30"/>
    <n v="41"/>
    <n v="2441"/>
    <d v="2024-10-10T00:00:00"/>
    <d v="1899-12-30T10:11:54"/>
    <s v="N/A"/>
    <x v="190"/>
    <n v="0.5"/>
    <s v="FC-003"/>
    <s v="JHVD "/>
    <m/>
    <s v="P724863"/>
    <s v="P724863"/>
    <s v="Y"/>
    <s v="WS"/>
    <s v="LCW Pressure sensor P1&amp;P2 spike issue "/>
    <s v="[intake 2343]_x000a_wk44.3: Delayed dure to SSB5 work. External relase wk50.3_x000a_wk40.3:On track. Internal release wk47.4 12:00, wk48.3 external release"/>
    <x v="0"/>
    <x v="0"/>
    <x v="0"/>
    <s v="Swap the sensor"/>
    <m/>
    <x v="0"/>
    <x v="2"/>
    <x v="0"/>
  </r>
  <r>
    <s v="AJ99"/>
    <s v="SEC"/>
    <x v="24"/>
    <n v="41"/>
    <n v="2441"/>
    <d v="2024-10-10T00:00:00"/>
    <d v="1899-12-30T04:22:06"/>
    <s v="N/A"/>
    <x v="191"/>
    <m/>
    <s v="FC-004"/>
    <s v="ANHG"/>
    <n v="52946507"/>
    <s v="P747949"/>
    <s v="P747949"/>
    <s v="Y"/>
    <s v="RS"/>
    <s v="LOT fails on: RQ-330F - Required action id is not first in the scan queue."/>
    <s v="wk41.3: RC known. 6+ wks of effort. Planning ongoing. Impact assessment --&gt; planning wk41.3_x000a_wk38.3: Pulling in FTE from ORION project. Discussions ongoing with Josh (PCM) _x000a_wk37.3: TETR test, side effect of P710299, RCA ongoing _x000a__x000a_wk34.3: Solution in wk2440"/>
    <x v="0"/>
    <x v="0"/>
    <x v="0"/>
    <s v="wk2444.3 ANHG - AIR already existed and on Wilton issues list, will be delivered on SP41 (wk2503)"/>
    <m/>
    <x v="0"/>
    <x v="0"/>
    <x v="0"/>
  </r>
  <r>
    <s v="EZ60"/>
    <s v="Intel"/>
    <x v="20"/>
    <n v="41"/>
    <n v="2441"/>
    <d v="2024-10-10T00:00:00"/>
    <d v="1899-12-30T00:16:01"/>
    <s v="N/A"/>
    <x v="186"/>
    <n v="0.38"/>
    <s v="FC-071"/>
    <s v="JMTP "/>
    <m/>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0"/>
    <x v="0"/>
    <m/>
    <m/>
    <x v="0"/>
    <x v="0"/>
    <x v="0"/>
  </r>
  <r>
    <s v="EZ60"/>
    <s v="Intel"/>
    <x v="89"/>
    <n v="41"/>
    <n v="2441"/>
    <d v="2024-10-10T00:00:00"/>
    <d v="1899-12-30T10:18:55"/>
    <d v="1899-12-30T11:11:00"/>
    <x v="192"/>
    <n v="0.38"/>
    <s v="FC-003"/>
    <s v="JHVD "/>
    <n v="52941350"/>
    <s v="P825725"/>
    <s v="P825725"/>
    <s v="Y"/>
    <s v="WH"/>
    <s v="Autorecovery fails due to WX-2A15 Ctrl block group for horizontal moves not enabled"/>
    <s v="[intake 2442]"/>
    <x v="2"/>
    <x v="2"/>
    <x v="0"/>
    <s v="SAMO: according to AIR P825725 issue is linked towards P821800"/>
    <m/>
    <x v="0"/>
    <x v="2"/>
    <x v="0"/>
  </r>
  <r>
    <s v="ET18"/>
    <s v="TSMC"/>
    <x v="90"/>
    <n v="41"/>
    <n v="2441"/>
    <d v="2024-10-09T00:00:00"/>
    <d v="1899-12-30T10:08:30"/>
    <s v="N/A"/>
    <x v="193"/>
    <n v="0.2"/>
    <s v="FC-027"/>
    <s v="STRG"/>
    <n v="52947174"/>
    <m/>
    <s v=""/>
    <s v="N/A"/>
    <s v="no AIR"/>
    <s v="no AIR"/>
    <s v="no AIR"/>
    <x v="0"/>
    <x v="0"/>
    <x v="0"/>
    <m/>
    <m/>
    <x v="2"/>
    <x v="1"/>
    <x v="0"/>
  </r>
  <r>
    <s v="ET18"/>
    <s v="TSMC"/>
    <x v="91"/>
    <n v="41"/>
    <n v="2441"/>
    <d v="2024-10-09T00:00:00"/>
    <d v="1899-12-30T09:33:02"/>
    <s v="N/A"/>
    <x v="170"/>
    <n v="0.1"/>
    <s v="FC-009"/>
    <s v="MKWQ"/>
    <n v="52946165"/>
    <s v="P807774"/>
    <s v="P807774"/>
    <s v="Y"/>
    <s v="DC"/>
    <s v="[E100] Lot fails on DW-5C00/ DW-5A01 error due to +/-2 wbin mismatch (E100 FW containment) (KH72, JF75) SP40"/>
    <s v="[intake 2437]_x000a_wk38.3: Linked to P805764_x000a_wk37.3: RC known and solution already available in SPA 140v2 - 614017_x000a_wk2437.1 New hit seen on Pi10 during reliab (Wafer reject only)"/>
    <x v="0"/>
    <x v="0"/>
    <x v="0"/>
    <m/>
    <m/>
    <x v="0"/>
    <x v="4"/>
    <x v="0"/>
  </r>
  <r>
    <s v="AJ99"/>
    <s v="SEC"/>
    <x v="92"/>
    <n v="41"/>
    <n v="2441"/>
    <d v="2024-10-09T00:00:00"/>
    <d v="1899-12-30T23:39:44"/>
    <s v="3:43:00 AM (10.10.2024)"/>
    <x v="194"/>
    <n v="0.37"/>
    <s v="FC-003"/>
    <s v="JHVD "/>
    <n v="52946503"/>
    <s v="P724863"/>
    <s v="P724863"/>
    <s v="Y"/>
    <s v="WS"/>
    <s v="LCW Pressure sensor P1&amp;P2 spike issue "/>
    <s v="[intake 2343]_x000a_wk44.3: Delayed dure to SSB5 work. External relase wk50.3_x000a_wk40.3:On track. Internal release wk47.4 12:00, wk48.3 external release"/>
    <x v="0"/>
    <x v="2"/>
    <x v="0"/>
    <m/>
    <m/>
    <x v="1"/>
    <x v="2"/>
    <x v="0"/>
  </r>
  <r>
    <s v="ET18"/>
    <s v="TSMC"/>
    <x v="30"/>
    <n v="41"/>
    <n v="2441"/>
    <d v="2024-10-08T00:00:00"/>
    <d v="1899-12-30T20:04:58"/>
    <s v="N/A"/>
    <x v="195"/>
    <n v="1"/>
    <s v="FC-003"/>
    <s v="JHVD "/>
    <n v="52945881"/>
    <m/>
    <s v=""/>
    <s v="N/A"/>
    <s v="no AIR"/>
    <s v="no AIR"/>
    <s v="no AIR"/>
    <x v="0"/>
    <x v="0"/>
    <x v="0"/>
    <m/>
    <m/>
    <x v="2"/>
    <x v="1"/>
    <x v="0"/>
  </r>
  <r>
    <s v="EZ60"/>
    <s v="Intel"/>
    <x v="0"/>
    <n v="41"/>
    <n v="2441"/>
    <d v="2024-10-08T00:00:00"/>
    <d v="1899-12-30T08:39:00"/>
    <d v="1899-12-30T08:39:00"/>
    <x v="196"/>
    <n v="2.02"/>
    <s v="FC-001"/>
    <s v="SDLG "/>
    <m/>
    <m/>
    <m/>
    <s v="N/A"/>
    <s v="no AIR"/>
    <s v="no AIR"/>
    <s v="no AIR"/>
    <x v="0"/>
    <x v="0"/>
    <x v="0"/>
    <m/>
    <m/>
    <x v="0"/>
    <x v="4"/>
    <x v="0"/>
  </r>
  <r>
    <s v="ET18"/>
    <s v="TSMC"/>
    <x v="20"/>
    <n v="41"/>
    <n v="2441"/>
    <d v="2024-10-07T00:00:00"/>
    <m/>
    <d v="1899-12-30T16:24:31"/>
    <x v="197"/>
    <n v="0.36"/>
    <s v="FC-071"/>
    <s v="JMTP "/>
    <n v="52950141"/>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m/>
    <m/>
    <x v="0"/>
    <x v="0"/>
    <x v="0"/>
  </r>
  <r>
    <s v="ET18"/>
    <s v="TSMC"/>
    <x v="85"/>
    <n v="40"/>
    <n v="2440"/>
    <d v="2024-10-04T00:00:00"/>
    <d v="1899-12-30T23:44:12"/>
    <s v="N/A"/>
    <x v="198"/>
    <n v="2"/>
    <s v="FC-071"/>
    <s v="JMTP "/>
    <n v="52940129"/>
    <m/>
    <s v=""/>
    <s v="N"/>
    <s v="no AIR"/>
    <s v="no AIR"/>
    <s v="no AIR"/>
    <x v="0"/>
    <x v="0"/>
    <x v="0"/>
    <m/>
    <m/>
    <x v="0"/>
    <x v="0"/>
    <x v="0"/>
  </r>
  <r>
    <s v="ET18"/>
    <s v="TSMC"/>
    <x v="54"/>
    <n v="40"/>
    <n v="2440"/>
    <d v="2024-10-04T00:00:00"/>
    <d v="1899-12-30T22:44:21"/>
    <s v="N/A"/>
    <x v="157"/>
    <n v="2"/>
    <s v="FC-078"/>
    <s v="KNGN"/>
    <n v="52924323"/>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0"/>
    <x v="0"/>
    <m/>
    <m/>
    <x v="1"/>
    <x v="2"/>
    <x v="0"/>
  </r>
  <r>
    <s v="EZ60"/>
    <s v="Intel"/>
    <x v="15"/>
    <n v="40"/>
    <n v="2440"/>
    <d v="2024-10-04T00:00:00"/>
    <d v="1899-12-30T15:19:47"/>
    <d v="1899-12-30T16:50:00"/>
    <x v="199"/>
    <n v="0.9"/>
    <s v="FC-001"/>
    <s v="MFSX"/>
    <n v="52941350"/>
    <s v="P821228"/>
    <s v="P821228"/>
    <s v="Y"/>
    <s v="WH"/>
    <s v="LOT stuck on WX-802A for 2.5 hours"/>
    <s v="[intake 2440]_x000a_wk46.5: SRGC to check with SE how to solve this since it is Track related"/>
    <x v="2"/>
    <x v="2"/>
    <x v="0"/>
    <s v="MFSC-wk2444.4: As discussed with Stijn Beer, AIR P824724 is linked to this issue._x000a_SAMO: according to AIR P824724 this case is linked to P821228 (P824724 is aborted)"/>
    <m/>
    <x v="0"/>
    <x v="4"/>
    <x v="0"/>
  </r>
  <r>
    <s v="EZ60"/>
    <s v="Intel"/>
    <x v="9"/>
    <n v="40"/>
    <n v="2440"/>
    <d v="2024-10-03T00:00:00"/>
    <d v="1899-12-30T01:55:31"/>
    <s v="N/A"/>
    <x v="200"/>
    <n v="1"/>
    <s v="FC-001"/>
    <s v="SDLG "/>
    <m/>
    <m/>
    <m/>
    <s v="N/A"/>
    <s v="no AIR"/>
    <s v="no AIR"/>
    <s v="no AIR"/>
    <x v="0"/>
    <x v="0"/>
    <x v="0"/>
    <m/>
    <m/>
    <x v="0"/>
    <x v="0"/>
    <x v="0"/>
  </r>
  <r>
    <s v="EZ60"/>
    <s v="Intel"/>
    <x v="11"/>
    <n v="40"/>
    <n v="2440"/>
    <d v="2024-10-02T00:00:00"/>
    <d v="1899-12-30T11:18:44"/>
    <d v="1899-12-30T12:12:01"/>
    <x v="201"/>
    <n v="3.12"/>
    <s v="FC-001"/>
    <s v="SDLG "/>
    <n v="52941205"/>
    <s v="P812023"/>
    <s v="P812023"/>
    <s v="Y"/>
    <s v="WH"/>
    <s v="[PR20] during WAFCAR, LOT recovery failed twice on WH-D1E1 "/>
    <s v="[intake 2435]_x000a_wk47.2: 9k HOI delayed  by 3 days to wk48.1. Test on NQ in wk48 before relesea to  customer_x000a_wk44.2: Postpone to batch 6 to new findings._x000a_wk41.5: Relevant info already available. RC likely to be known. Comeback on solution plan _x000a_wk39.2: SRGC "/>
    <x v="2"/>
    <x v="2"/>
    <x v="0"/>
    <s v="SEDV: WK41.3 - Root Error from Reconciled Data. Based on SDT: WX-802A_x000a_SAMO: update to new AIR, old AIR P821228"/>
    <m/>
    <x v="0"/>
    <x v="2"/>
    <x v="0"/>
  </r>
  <r>
    <s v="ET18"/>
    <s v="TSMC"/>
    <x v="93"/>
    <n v="40"/>
    <n v="2440"/>
    <d v="2024-10-01T00:00:00"/>
    <s v="N/A"/>
    <s v="N/A"/>
    <x v="202"/>
    <m/>
    <s v="FC-029"/>
    <s v="not found"/>
    <n v="52920540"/>
    <m/>
    <s v=""/>
    <s v="N/A"/>
    <s v="no AIR"/>
    <s v="no AIR"/>
    <s v="no AIR"/>
    <x v="0"/>
    <x v="0"/>
    <x v="0"/>
    <s v="Hypothesis: Exhaust -800psi"/>
    <m/>
    <x v="0"/>
    <x v="0"/>
    <x v="0"/>
  </r>
  <r>
    <s v="AJ99"/>
    <s v="SEC"/>
    <x v="35"/>
    <n v="40"/>
    <n v="2440"/>
    <d v="2024-10-01T00:00:00"/>
    <d v="1899-12-30T00:40:25"/>
    <s v="N/A"/>
    <x v="203"/>
    <n v="2"/>
    <s v="FC-001"/>
    <s v="SDLG "/>
    <n v="52939744"/>
    <s v="P808249"/>
    <s v="P808249"/>
    <s v="Incorrect"/>
    <s v="WH"/>
    <s v="EZ60 - CH unlock/lock and wh driver init fails on PG-6206: Servo Error: fatal position error. Position error=-0.00390747; error window=0.00390625"/>
    <s v="[intake 2437]_x000a_wk38.3: Issue not to be seen at Intel anymore. Investigation ongoing if there is also a structural issue_x000a_wk37 New hit seen last weekend on Intel. Awaiting intake from D&amp;E"/>
    <x v="0"/>
    <x v="0"/>
    <x v="0"/>
    <s v="Wk40.3 SDLG: AJ99 PG-6206 issue does not have the same symptom as in P808249 [Intel&amp;TSMC issues]. Currently on monitoring phase, new AIR ID will be created in case the issue occurs again._x000a__x000a_Remove White cover protestion"/>
    <m/>
    <x v="0"/>
    <x v="0"/>
    <x v="0"/>
  </r>
  <r>
    <s v="EZ60"/>
    <s v="Intel"/>
    <x v="20"/>
    <n v="40"/>
    <n v="2440"/>
    <d v="2024-09-30T00:00:00"/>
    <d v="1899-12-30T00:26:21"/>
    <s v="N/A"/>
    <x v="204"/>
    <m/>
    <s v="FC-071"/>
    <s v="JMTP "/>
    <m/>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0"/>
    <x v="0"/>
    <m/>
    <m/>
    <x v="0"/>
    <x v="2"/>
    <x v="0"/>
  </r>
  <r>
    <s v="AJ99"/>
    <s v="SEC"/>
    <x v="94"/>
    <n v="40"/>
    <n v="2440"/>
    <d v="2024-09-30T00:00:00"/>
    <m/>
    <m/>
    <x v="205"/>
    <m/>
    <s v="FC-072"/>
    <s v="JMTP "/>
    <n v="52938085"/>
    <s v="P807109"/>
    <s v="P807109"/>
    <s v="Y"/>
    <s v="not found"/>
    <s v="not found"/>
    <s v="not found"/>
    <x v="0"/>
    <x v="0"/>
    <x v="0"/>
    <m/>
    <m/>
    <x v="0"/>
    <x v="4"/>
    <x v="0"/>
  </r>
  <r>
    <s v="ET18"/>
    <s v="TSMC"/>
    <x v="85"/>
    <n v="39"/>
    <n v="2439"/>
    <d v="2024-09-29T00:00:00"/>
    <d v="1899-12-30T02:12:05"/>
    <s v="N/A"/>
    <x v="206"/>
    <m/>
    <s v="FC-071"/>
    <s v="JMTP "/>
    <n v="52940129"/>
    <m/>
    <m/>
    <s v="N/A"/>
    <s v="no AIR"/>
    <s v="no AIR"/>
    <s v="no AIR"/>
    <x v="0"/>
    <x v="0"/>
    <x v="0"/>
    <m/>
    <m/>
    <x v="0"/>
    <x v="0"/>
    <x v="0"/>
  </r>
  <r>
    <s v="ET18"/>
    <s v="TSMC"/>
    <x v="48"/>
    <n v="39"/>
    <n v="2439"/>
    <d v="2024-09-28T00:00:00"/>
    <d v="1899-12-30T14:53:00"/>
    <d v="1899-12-30T15:03:55"/>
    <x v="207"/>
    <n v="0.73"/>
    <s v="FC-071"/>
    <s v="JMTP "/>
    <n v="52940162"/>
    <s v="P844948"/>
    <s v="P844948"/>
    <s v="N/A"/>
    <s v="n/a"/>
    <s v="n/a"/>
    <s v="n/a"/>
    <x v="2"/>
    <x v="2"/>
    <x v="0"/>
    <s v="SEDV: Data lost. No chance to deep dive"/>
    <s v="Y"/>
    <x v="0"/>
    <x v="0"/>
    <x v="0"/>
  </r>
  <r>
    <s v="EZ60"/>
    <s v="Intel"/>
    <x v="35"/>
    <n v="39"/>
    <n v="2439"/>
    <d v="2024-09-28T00:00:00"/>
    <d v="1899-12-30T05:41:28"/>
    <d v="1899-12-30T07:23:00"/>
    <x v="208"/>
    <n v="0.3"/>
    <s v="FC-001"/>
    <s v="MFSX"/>
    <n v="52937796"/>
    <s v="P822182"/>
    <s v="P822182"/>
    <s v="N"/>
    <s v="WH"/>
    <s v="[BTR4] A fatal position error is triggered on the AUR when the wafer is being recovered during a failed or aborted readout for RXMIMF"/>
    <s v="[intake 2449]_x000a_wk50.5: RC ongoing."/>
    <x v="0"/>
    <x v="2"/>
    <x v="0"/>
    <s v="MFSX-wk2440.4: PG-6206 cannot be found at the given timestamp. Thus this is not the root error. Or the timestamp of the SO is wrong. Who can check this?_x000a_MFSX-wk2440.4: There are various WH DDFs regarding PG-6206. Without the right X1 tag I cannot identify which one is applicable._x000a_MFSX-wk2442:1: Both errors PG-6206_0x19CAB8A3 and PG-6206_0xB9273F14 occuring at 05:41:28 and at 07:27:59 might indicate an issue with the AUR. However, there is a further investigation from the FC needed. Maybe worth to check this DDF: https://epscentral.asml.com:8443/ddf-editor-ui/#/fm1-detail/616719/rule-management/rule-creation_x000a_MFSX-wk2442.1: I suspect this to be either AIR P822182 or AIR P712255._x000a_MFSX-wk2445.2: No confirmation of the AIR by the FC yet. Will bring this case up again in the meeting with Stijn on wk2445.4"/>
    <m/>
    <x v="0"/>
    <x v="0"/>
    <x v="0"/>
  </r>
  <r>
    <s v="ET18"/>
    <s v="TSMC"/>
    <x v="2"/>
    <n v="39"/>
    <n v="2439"/>
    <d v="2024-09-27T00:00:00"/>
    <m/>
    <m/>
    <x v="209"/>
    <n v="166.98"/>
    <s v="FC-003"/>
    <s v="JHVD "/>
    <n v="52937015"/>
    <s v="P823802"/>
    <s v="P823802"/>
    <s v="Y"/>
    <s v="n/a"/>
    <s v="n/a"/>
    <s v="n/a"/>
    <x v="0"/>
    <x v="2"/>
    <x v="0"/>
    <m/>
    <s v="Y"/>
    <x v="0"/>
    <x v="4"/>
    <x v="1"/>
  </r>
  <r>
    <s v="ET18"/>
    <s v="TSMC"/>
    <x v="82"/>
    <n v="39"/>
    <n v="2439"/>
    <d v="2024-09-26T00:00:00"/>
    <d v="1899-12-30T06:57:49"/>
    <d v="1899-12-30T06:57:49"/>
    <x v="210"/>
    <n v="2"/>
    <s v="FC-063"/>
    <s v="MKWQ"/>
    <n v="52935847"/>
    <s v="P800469"/>
    <s v="P800469"/>
    <s v="Y"/>
    <s v="ME"/>
    <s v="Pi8 WafCar lot aborted due to root error KI-6206 'The AbCoM measurement quality was too low'"/>
    <s v="[Intake 2437]_x000a_wk44.3: First code expected wk44.5, testing wk45. So still under review if we can meet plan (only SP38 9k)_x000a_wk42.3: SP37 + SP38 9k, customer release wk47 and wk46.4 QBL delivery. Check back on when SP38 rolls out to field  _x000a_wk41.3 Solution ph"/>
    <x v="2"/>
    <x v="2"/>
    <x v="0"/>
    <s v="SRGC: Verified as same issue seen at Intel as well. Solutions rolled out via Batch4a now_x000a_DTOM: changed AIR based on check from Ilias"/>
    <m/>
    <x v="0"/>
    <x v="2"/>
    <x v="0"/>
  </r>
  <r>
    <s v="AJ99"/>
    <s v="SEC"/>
    <x v="0"/>
    <n v="39"/>
    <n v="2439"/>
    <d v="2024-09-25T00:00:00"/>
    <s v="N/A"/>
    <s v="N/A"/>
    <x v="211"/>
    <n v="1"/>
    <s v="FC-024"/>
    <s v="STRG"/>
    <n v="52935029"/>
    <m/>
    <s v=""/>
    <s v="N/A"/>
    <s v="no AIR"/>
    <s v="no AIR"/>
    <s v="no AIR"/>
    <x v="0"/>
    <x v="0"/>
    <x v="0"/>
    <s v="Test constant set wrong"/>
    <m/>
    <x v="0"/>
    <x v="4"/>
    <x v="0"/>
  </r>
  <r>
    <s v="AJ99"/>
    <s v="SEC"/>
    <x v="0"/>
    <n v="39"/>
    <n v="2439"/>
    <d v="2024-09-25T00:00:00"/>
    <s v="N/A"/>
    <s v="N/A"/>
    <x v="212"/>
    <n v="1.5"/>
    <s v="FC-024"/>
    <s v="STRG"/>
    <n v="52934772"/>
    <m/>
    <s v=""/>
    <s v="N/A"/>
    <s v="no AIR"/>
    <s v="no AIR"/>
    <s v="no AIR"/>
    <x v="0"/>
    <x v="0"/>
    <x v="0"/>
    <s v="No CPD available in TWINSCAN"/>
    <m/>
    <x v="0"/>
    <x v="4"/>
    <x v="0"/>
  </r>
  <r>
    <s v="ET18"/>
    <s v="TSMC"/>
    <x v="95"/>
    <n v="39"/>
    <n v="2439"/>
    <d v="2024-09-25T00:00:00"/>
    <d v="1899-12-30T23:40:16"/>
    <s v="N/A"/>
    <x v="213"/>
    <n v="0.3"/>
    <s v="FC-025"/>
    <s v="STRG"/>
    <m/>
    <m/>
    <s v=""/>
    <s v="N/A"/>
    <s v="no AIR"/>
    <s v="no AIR"/>
    <s v="no AIR"/>
    <x v="0"/>
    <x v="0"/>
    <x v="0"/>
    <m/>
    <m/>
    <x v="0"/>
    <x v="0"/>
    <x v="0"/>
  </r>
  <r>
    <s v="ET18"/>
    <s v="TSMC"/>
    <x v="5"/>
    <n v="39"/>
    <n v="2439"/>
    <d v="2024-09-25T00:00:00"/>
    <d v="1899-12-30T21:41:57"/>
    <s v="N/A"/>
    <x v="214"/>
    <n v="1"/>
    <s v="FC-001"/>
    <s v="SDLG "/>
    <n v="52939958"/>
    <s v="P814182"/>
    <s v="P814182"/>
    <s v="Y"/>
    <s v="WH"/>
    <s v="[Pr20] LOT fails to restart after autorecovery because of WH communication"/>
    <s v="[intake 2438]_x000a_wk49.5: 9k SP38 HOI wk50.5. Customer release wk51 _x000a_wk49.2: Still likely to be on track for QBL this week  _x000a_wk48.5: Comeback on 49.2,. Good chance to make it on time _x000a_wk47.2: Thijs to check if solution can be delivered in wk50. _x000a_wk46.5: EDS o"/>
    <x v="0"/>
    <x v="0"/>
    <x v="0"/>
    <s v="MFSX-wk2441.1: Neither the data in this Excel nor the SO seem to be correct regarding this issue."/>
    <m/>
    <x v="0"/>
    <x v="0"/>
    <x v="0"/>
  </r>
  <r>
    <s v="ET18"/>
    <s v="TSMC"/>
    <x v="15"/>
    <n v="39"/>
    <n v="2439"/>
    <d v="2024-09-25T00:00:00"/>
    <d v="1899-12-30T12:51:29"/>
    <s v="N/A"/>
    <x v="215"/>
    <n v="1"/>
    <s v="FC-001"/>
    <s v="SDLG "/>
    <n v="52933680"/>
    <s v="P755481"/>
    <s v="P755481"/>
    <s v="Y"/>
    <s v="not found"/>
    <s v="not found"/>
    <s v="not found"/>
    <x v="0"/>
    <x v="0"/>
    <x v="0"/>
    <m/>
    <m/>
    <x v="1"/>
    <x v="4"/>
    <x v="0"/>
  </r>
  <r>
    <s v="ET18"/>
    <s v="TSMC"/>
    <x v="15"/>
    <n v="39"/>
    <n v="2439"/>
    <d v="2024-09-25T00:00:00"/>
    <d v="1899-12-30T14:06:32"/>
    <d v="1899-12-30T18:19:44"/>
    <x v="216"/>
    <n v="2"/>
    <s v="FC-001"/>
    <s v="SDLG "/>
    <n v="52935914"/>
    <s v="P821654"/>
    <s v="P821654"/>
    <s v="Y"/>
    <s v="WH"/>
    <s v="[ET18] Wafer stuck at TWINSCAN and lot abort triggered after track stops for 5 mins"/>
    <s v="[intake 2442]_x000a_wk47.2: On track for HOI 47.4"/>
    <x v="0"/>
    <x v="0"/>
    <x v="0"/>
    <m/>
    <m/>
    <x v="0"/>
    <x v="4"/>
    <x v="0"/>
  </r>
  <r>
    <s v="ET18"/>
    <s v="TSMC"/>
    <x v="15"/>
    <n v="39"/>
    <n v="2439"/>
    <d v="2024-09-25T00:00:00"/>
    <d v="1899-12-30T12:47:59"/>
    <d v="1899-12-30T13:44:37"/>
    <x v="216"/>
    <n v="0.89"/>
    <s v="FC-001"/>
    <s v="SDLG "/>
    <n v="52935914"/>
    <s v="P821654"/>
    <s v="P821654"/>
    <s v="Y"/>
    <s v="WH"/>
    <s v="[ET18] Wafer stuck at TWINSCAN and lot abort triggered after track stops for 5 mins"/>
    <s v="[intake 2442]_x000a_wk47.2: On track for HOI 47.4"/>
    <x v="0"/>
    <x v="2"/>
    <x v="0"/>
    <m/>
    <m/>
    <x v="0"/>
    <x v="4"/>
    <x v="0"/>
  </r>
  <r>
    <s v="ET18"/>
    <s v="TSMC"/>
    <x v="45"/>
    <n v="39"/>
    <n v="2439"/>
    <d v="2024-09-25T00:00:00"/>
    <d v="1899-12-30T08:27:28"/>
    <d v="1899-12-30T08:49:01"/>
    <x v="217"/>
    <n v="2.65"/>
    <s v="FC-003"/>
    <s v="MFSX"/>
    <n v="52934942"/>
    <s v="P815581"/>
    <s v="P815581"/>
    <s v="Y"/>
    <s v="PC"/>
    <s v="[CN-00AF] [[S2:CGMA_wafhnd; T1:CVMA_WAFHND; H2:wh.localdomain; ]] Server 'CGMA_wafhnd' not resolved"/>
    <s v=""/>
    <x v="0"/>
    <x v="2"/>
    <x v="0"/>
    <s v="MFSX-wk2442.2: Also AIR P712654 is mentioning CN-00AF."/>
    <m/>
    <x v="0"/>
    <x v="0"/>
    <x v="0"/>
  </r>
  <r>
    <s v="AJ99"/>
    <s v="SEC"/>
    <x v="0"/>
    <n v="39"/>
    <n v="2439"/>
    <d v="2024-09-24T00:00:00"/>
    <s v="N/A"/>
    <s v="N/A"/>
    <x v="218"/>
    <n v="3"/>
    <s v="FC-001"/>
    <s v="SDLG "/>
    <n v="52933954"/>
    <s v="P722023"/>
    <s v="P722023"/>
    <s v="Y"/>
    <s v="not found"/>
    <s v="not found"/>
    <s v="not found"/>
    <x v="0"/>
    <x v="0"/>
    <x v="0"/>
    <s v="FCO has been missed. Ordered FCO (Redesign of seismis feet of VWH)"/>
    <m/>
    <x v="5"/>
    <x v="5"/>
    <x v="0"/>
  </r>
  <r>
    <s v="EZ60"/>
    <s v="Intel"/>
    <x v="0"/>
    <n v="39"/>
    <n v="2439"/>
    <d v="2024-09-24T00:00:00"/>
    <d v="1899-12-30T09:59:28"/>
    <s v="N/A"/>
    <x v="219"/>
    <n v="6"/>
    <s v="FC-001"/>
    <s v="SDLG "/>
    <m/>
    <m/>
    <s v=""/>
    <s v="N/A"/>
    <s v="no AIR"/>
    <s v="no AIR"/>
    <s v="no AIR"/>
    <x v="0"/>
    <x v="0"/>
    <x v="0"/>
    <m/>
    <m/>
    <x v="0"/>
    <x v="0"/>
    <x v="0"/>
  </r>
  <r>
    <s v="ET18"/>
    <s v="TSMC"/>
    <x v="15"/>
    <n v="39"/>
    <n v="2439"/>
    <d v="2024-09-24T00:00:00"/>
    <d v="1899-12-30T11:27:16"/>
    <d v="1899-12-30T10:19:46"/>
    <x v="215"/>
    <n v="1.1299999999999999"/>
    <s v="FC-001"/>
    <s v="SDLG "/>
    <n v="52933680"/>
    <s v="P755481"/>
    <s v="P755481"/>
    <s v="Y"/>
    <s v="not found"/>
    <s v="not found"/>
    <s v="not found"/>
    <x v="2"/>
    <x v="2"/>
    <x v="0"/>
    <m/>
    <m/>
    <x v="0"/>
    <x v="4"/>
    <x v="0"/>
  </r>
  <r>
    <s v="AJ99"/>
    <s v="SEC"/>
    <x v="96"/>
    <n v="39"/>
    <n v="2439"/>
    <d v="2024-09-23T00:00:00"/>
    <d v="1899-12-30T11:26:38"/>
    <d v="1899-12-30T11:26:38"/>
    <x v="220"/>
    <n v="1.61"/>
    <s v="FC-027"/>
    <s v="STRG"/>
    <n v="52932564"/>
    <m/>
    <s v=""/>
    <s v="N/A"/>
    <s v="n/a"/>
    <s v="n/a"/>
    <s v="n/a"/>
    <x v="2"/>
    <x v="2"/>
    <x v="0"/>
    <s v="DP folders deleted by mistake"/>
    <s v="Y"/>
    <x v="4"/>
    <x v="5"/>
    <x v="0"/>
  </r>
  <r>
    <s v="AJ99"/>
    <s v="SEC"/>
    <x v="0"/>
    <n v="39"/>
    <n v="2439"/>
    <d v="2024-09-23T00:00:00"/>
    <d v="1899-12-30T08:20:35"/>
    <d v="1899-12-30T08:20:35"/>
    <x v="221"/>
    <n v="63.66"/>
    <s v="FC-050"/>
    <s v="JHVD "/>
    <n v="52933471"/>
    <s v="P821224"/>
    <s v="P821224"/>
    <s v="Y"/>
    <s v="n/a"/>
    <s v="n/a"/>
    <s v="n/a"/>
    <x v="0"/>
    <x v="2"/>
    <x v="0"/>
    <s v="MFSX-wk2440.4"/>
    <s v="Y"/>
    <x v="0"/>
    <x v="4"/>
    <x v="1"/>
  </r>
  <r>
    <s v="EZ60"/>
    <s v="Intel"/>
    <x v="0"/>
    <n v="38"/>
    <n v="2438"/>
    <d v="2024-09-22T00:00:00"/>
    <s v="N/A"/>
    <s v="N/A"/>
    <x v="222"/>
    <n v="9"/>
    <s v="FC-001"/>
    <s v="SDLG "/>
    <m/>
    <s v="P820345"/>
    <s v="P820345"/>
    <s v="Y"/>
    <s v="not found"/>
    <s v="not found"/>
    <s v="not found"/>
    <x v="0"/>
    <x v="0"/>
    <x v="0"/>
    <m/>
    <m/>
    <x v="0"/>
    <x v="4"/>
    <x v="0"/>
  </r>
  <r>
    <s v="EZ60"/>
    <s v="Intel"/>
    <x v="0"/>
    <n v="38"/>
    <n v="2438"/>
    <d v="2024-09-22T00:00:00"/>
    <s v="N/A"/>
    <s v="N/A"/>
    <x v="223"/>
    <n v="8"/>
    <s v="FC-001"/>
    <s v="SDLG "/>
    <m/>
    <s v="P820368"/>
    <s v="P820368"/>
    <s v="Y"/>
    <s v="not found"/>
    <s v="not found"/>
    <s v="not found"/>
    <x v="0"/>
    <x v="0"/>
    <x v="0"/>
    <m/>
    <m/>
    <x v="0"/>
    <x v="4"/>
    <x v="0"/>
  </r>
  <r>
    <s v="EZ60"/>
    <s v="Intel"/>
    <x v="0"/>
    <n v="38"/>
    <n v="2438"/>
    <d v="2024-09-22T00:00:00"/>
    <s v="N/A"/>
    <s v="N/A"/>
    <x v="224"/>
    <m/>
    <s v="FC-071"/>
    <s v="JMTP "/>
    <m/>
    <m/>
    <s v=""/>
    <s v="N/A"/>
    <s v="no AIR"/>
    <s v="no AIR"/>
    <s v="no AIR"/>
    <x v="0"/>
    <x v="0"/>
    <x v="0"/>
    <m/>
    <m/>
    <x v="5"/>
    <x v="5"/>
    <x v="0"/>
  </r>
  <r>
    <s v="AJ99"/>
    <s v="SEC"/>
    <x v="20"/>
    <n v="38"/>
    <n v="2438"/>
    <d v="2024-09-22T00:00:00"/>
    <d v="1899-12-30T00:13:59"/>
    <d v="1899-12-30T00:13:48"/>
    <x v="225"/>
    <n v="2.2599999999999998"/>
    <s v="FC-071"/>
    <s v="JMTP "/>
    <n v="52931492"/>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m/>
    <m/>
    <x v="0"/>
    <x v="2"/>
    <x v="0"/>
  </r>
  <r>
    <s v="AJ99"/>
    <s v="SEC"/>
    <x v="30"/>
    <n v="38"/>
    <n v="2438"/>
    <d v="2024-09-21T00:00:00"/>
    <s v="N/A"/>
    <s v="N/A"/>
    <x v="226"/>
    <n v="8"/>
    <s v="FC-003"/>
    <s v="JHVD "/>
    <n v="52922977"/>
    <s v="P809444"/>
    <s v="P809444"/>
    <s v="Y"/>
    <s v="WS"/>
    <s v="SSB5 reboots during operation which leads to disable intervention"/>
    <s v="[intake 2438]_x000a_Wk39.3 QBL delivery ongoing. Patches expected on track for batch 4b. 9k Patch on track for 39.5. 400k available for reliab run if needed._x000a_wk38.5 Firmware update needed to make it more robuust. Highest prio, planning expected wk38.5"/>
    <x v="0"/>
    <x v="0"/>
    <x v="0"/>
    <s v="Scheduled Down - SSB Replacement done"/>
    <m/>
    <x v="0"/>
    <x v="6"/>
    <x v="0"/>
  </r>
  <r>
    <s v="EZ60"/>
    <s v="Intel"/>
    <x v="0"/>
    <n v="38"/>
    <n v="2438"/>
    <d v="2024-09-21T00:00:00"/>
    <s v="N/A"/>
    <s v="N/A"/>
    <x v="227"/>
    <n v="3.5"/>
    <s v="FC-001"/>
    <s v="SDLG "/>
    <n v="52931326"/>
    <s v="P820376"/>
    <s v="P820376"/>
    <s v="Y"/>
    <s v="not found"/>
    <s v="not found"/>
    <s v="not found"/>
    <x v="0"/>
    <x v="0"/>
    <x v="0"/>
    <m/>
    <m/>
    <x v="1"/>
    <x v="0"/>
    <x v="0"/>
  </r>
  <r>
    <s v="ET18"/>
    <s v="TSMC"/>
    <x v="0"/>
    <n v="38"/>
    <n v="2438"/>
    <d v="2024-09-21T00:00:00"/>
    <s v="N/A"/>
    <s v="N/A"/>
    <x v="228"/>
    <m/>
    <m/>
    <s v="no FC filled"/>
    <n v="52930792"/>
    <m/>
    <s v=""/>
    <s v="N/A"/>
    <s v="no AIR"/>
    <s v="no AIR"/>
    <s v="no AIR"/>
    <x v="0"/>
    <x v="0"/>
    <x v="0"/>
    <m/>
    <m/>
    <x v="0"/>
    <x v="0"/>
    <x v="0"/>
  </r>
  <r>
    <s v="AJ99"/>
    <s v="SEC"/>
    <x v="15"/>
    <n v="38"/>
    <n v="2438"/>
    <d v="2024-09-21T00:00:00"/>
    <d v="1899-12-30T06:34:33"/>
    <s v="N/A"/>
    <x v="229"/>
    <n v="2"/>
    <s v="FC-001"/>
    <s v="SDLG "/>
    <s v=" 52931244  "/>
    <s v="P820392"/>
    <s v="P820392"/>
    <s v="Y"/>
    <s v="not found"/>
    <s v="not found"/>
    <s v="not found"/>
    <x v="0"/>
    <x v="0"/>
    <x v="0"/>
    <m/>
    <m/>
    <x v="0"/>
    <x v="4"/>
    <x v="0"/>
  </r>
  <r>
    <s v="AJ99"/>
    <s v="SEC"/>
    <x v="0"/>
    <n v="38"/>
    <n v="2438"/>
    <d v="2024-09-21T00:00:00"/>
    <d v="1899-12-30T00:08:00"/>
    <s v="N/A"/>
    <x v="230"/>
    <n v="0.5"/>
    <m/>
    <s v="no FC filled"/>
    <n v="52924184"/>
    <s v="P819968"/>
    <s v="P819968"/>
    <s v="Y"/>
    <s v="not found"/>
    <s v="not found"/>
    <s v="not found"/>
    <x v="0"/>
    <x v="0"/>
    <x v="0"/>
    <m/>
    <m/>
    <x v="0"/>
    <x v="0"/>
    <x v="0"/>
  </r>
  <r>
    <s v="AJ99"/>
    <s v="SEC"/>
    <x v="97"/>
    <n v="38"/>
    <n v="2438"/>
    <d v="2024-09-20T00:00:00"/>
    <d v="1899-12-30T18:35:17"/>
    <s v="N/A"/>
    <x v="231"/>
    <n v="1.2"/>
    <s v="FC-025"/>
    <s v="STRG"/>
    <n v="52931139"/>
    <m/>
    <s v=""/>
    <s v="N/A"/>
    <s v="no AIR"/>
    <s v="no AIR"/>
    <s v="no AIR"/>
    <x v="0"/>
    <x v="0"/>
    <x v="0"/>
    <m/>
    <m/>
    <x v="0"/>
    <x v="0"/>
    <x v="0"/>
  </r>
  <r>
    <s v="AJ99"/>
    <s v="SEC"/>
    <x v="43"/>
    <n v="38"/>
    <n v="2438"/>
    <d v="2024-09-20T00:00:00"/>
    <d v="1899-12-30T16:34:16"/>
    <s v="N/A"/>
    <x v="232"/>
    <n v="1.5"/>
    <s v="FC-024"/>
    <s v="STRG"/>
    <n v="52931212"/>
    <m/>
    <s v=""/>
    <s v="N/A"/>
    <s v="no AIR"/>
    <s v="no AIR"/>
    <s v="no AIR"/>
    <x v="0"/>
    <x v="0"/>
    <x v="0"/>
    <m/>
    <m/>
    <x v="0"/>
    <x v="0"/>
    <x v="0"/>
  </r>
  <r>
    <s v="AJ99"/>
    <s v="SEC"/>
    <x v="98"/>
    <n v="38"/>
    <n v="2438"/>
    <d v="2024-09-20T00:00:00"/>
    <d v="1899-12-30T08:03:40"/>
    <d v="1899-12-30T08:36:40"/>
    <x v="233"/>
    <n v="1.5"/>
    <s v="FC-012"/>
    <s v="ARWY "/>
    <n v="52930510"/>
    <s v="P803536"/>
    <s v="P803536"/>
    <s v="Y"/>
    <s v="PR"/>
    <s v="PMHC HLQB LD4 release for several quality and design issues"/>
    <s v="[PMHC LD4] PMHC#42 (wk5)"/>
    <x v="2"/>
    <x v="2"/>
    <x v="0"/>
    <s v="Linked to leading AIR (P814476)"/>
    <m/>
    <x v="0"/>
    <x v="3"/>
    <x v="0"/>
  </r>
  <r>
    <s v="ET18"/>
    <s v="TSMC"/>
    <x v="99"/>
    <n v="38"/>
    <n v="2438"/>
    <d v="2024-09-20T00:00:00"/>
    <d v="1899-12-30T23:46:28"/>
    <m/>
    <x v="234"/>
    <m/>
    <s v="FC-042"/>
    <s v="SDLG "/>
    <n v="52931057"/>
    <s v="P805717"/>
    <s v="P805717"/>
    <s v="Y"/>
    <s v="not found"/>
    <s v="not found"/>
    <s v="not found"/>
    <x v="0"/>
    <x v="0"/>
    <x v="0"/>
    <m/>
    <m/>
    <x v="0"/>
    <x v="7"/>
    <x v="0"/>
  </r>
  <r>
    <s v="ET18"/>
    <s v="TSMC"/>
    <x v="11"/>
    <n v="38"/>
    <n v="2438"/>
    <d v="2024-09-19T00:00:00"/>
    <d v="1899-12-30T17:20:31"/>
    <s v="N/A"/>
    <x v="235"/>
    <n v="11"/>
    <s v="FC-001"/>
    <s v="SDLG "/>
    <n v="52930056"/>
    <s v="P810576"/>
    <s v="P810576"/>
    <s v="Y"/>
    <s v="not found"/>
    <s v="not found"/>
    <s v="not found"/>
    <x v="0"/>
    <x v="0"/>
    <x v="0"/>
    <s v="Reinstall batch p903611b. B3 issue"/>
    <m/>
    <x v="5"/>
    <x v="2"/>
    <x v="0"/>
  </r>
  <r>
    <s v="EZ60"/>
    <s v="Intel"/>
    <x v="100"/>
    <n v="38"/>
    <n v="2438"/>
    <d v="2024-09-19T00:00:00"/>
    <d v="1899-12-30T01:11:00"/>
    <s v="N/A"/>
    <x v="236"/>
    <n v="4"/>
    <s v="FC-041"/>
    <s v="MFSX"/>
    <n v="52929889"/>
    <s v="P817277"/>
    <s v="P817277"/>
    <s v="Y"/>
    <s v="not found"/>
    <s v="not found"/>
    <s v="not found"/>
    <x v="0"/>
    <x v="0"/>
    <x v="0"/>
    <s v="Linked as new INIT issue"/>
    <m/>
    <x v="0"/>
    <x v="2"/>
    <x v="0"/>
  </r>
  <r>
    <s v="AJ99"/>
    <s v="SEC"/>
    <x v="58"/>
    <n v="38"/>
    <n v="2438"/>
    <d v="2024-09-19T00:00:00"/>
    <d v="1899-12-30T00:53:10"/>
    <d v="1899-12-30T00:57:13"/>
    <x v="237"/>
    <n v="12.52"/>
    <s v="FC-001"/>
    <s v="SDLG "/>
    <n v="52928764"/>
    <s v="P808284"/>
    <s v="P808284"/>
    <s v="Y"/>
    <s v="WH"/>
    <s v="|mJM14| |NXE3800| |Proto20| &quot;Clear all function&quot; failed on WH-4CAA"/>
    <s v="[intake 2440]_x000a_wk46.2: Most likely no Sw delivery needed.  Could be Seq related"/>
    <x v="0"/>
    <x v="2"/>
    <x v="0"/>
    <s v="Wk43.3 SDLG: Filled in AVP. P810385 RC solution"/>
    <m/>
    <x v="0"/>
    <x v="4"/>
    <x v="1"/>
  </r>
  <r>
    <s v="EZ60"/>
    <s v="Intel"/>
    <x v="7"/>
    <n v="38"/>
    <n v="2438"/>
    <d v="2024-09-18T00:00:00"/>
    <d v="1899-12-30T14:47:16"/>
    <s v="N/A"/>
    <x v="238"/>
    <n v="6"/>
    <s v="FC-004"/>
    <s v="ANHG"/>
    <s v="52929405​"/>
    <m/>
    <s v=""/>
    <s v="N/A"/>
    <s v="no AIR"/>
    <s v="no AIR"/>
    <s v="no AIR"/>
    <x v="0"/>
    <x v="0"/>
    <x v="0"/>
    <s v="Followed DDF/PCS. "/>
    <m/>
    <x v="5"/>
    <x v="5"/>
    <x v="0"/>
  </r>
  <r>
    <s v="ET18"/>
    <s v="TSMC"/>
    <x v="99"/>
    <n v="38"/>
    <n v="2438"/>
    <d v="2024-09-18T00:00:00"/>
    <d v="1899-12-30T13:45:00"/>
    <s v="N/A"/>
    <x v="234"/>
    <n v="15"/>
    <s v="FC-001"/>
    <s v="SDLG "/>
    <n v="52928656"/>
    <s v="P769206"/>
    <s v="P769206"/>
    <s v="Y"/>
    <s v="WH"/>
    <s v="Track output mishandled during a pending virtual output"/>
    <s v="[intake 2420]_x000a_wk44.2: Still QBL Wednesday. 9k HOI thursday and release for friday._x000a_wk42.2 Test code complete, but issue found in code. Delay: 1wk_x000a_wk39.2: Solution direction still not clear. Need Track test time to be planned. Reliab team to help  _x000a_wk38.3:"/>
    <x v="0"/>
    <x v="0"/>
    <x v="0"/>
    <s v="Issue contained by restore FC in DE's DU wafer broken in Intel issue AP: Modified FC reject wafer to TRACK.​ AIR needs to be verified."/>
    <m/>
    <x v="0"/>
    <x v="2"/>
    <x v="1"/>
  </r>
  <r>
    <s v="EZ60"/>
    <s v="Intel"/>
    <x v="58"/>
    <n v="38"/>
    <n v="2438"/>
    <d v="2024-09-18T00:00:00"/>
    <d v="1899-12-30T11:11:20"/>
    <s v="N/A"/>
    <x v="239"/>
    <n v="4"/>
    <s v="FC-001"/>
    <s v="SDLG "/>
    <n v="52892358"/>
    <s v="P808284"/>
    <s v="P808284"/>
    <s v="Y"/>
    <s v="WH"/>
    <s v="|mJM14| |NXE3800| |Proto20| &quot;Clear all function&quot; failed on WH-4CAA"/>
    <s v="[intake 2440]_x000a_wk46.2: Most likely no Sw delivery needed.  Could be Seq related"/>
    <x v="0"/>
    <x v="0"/>
    <x v="0"/>
    <s v="Extended track seal"/>
    <m/>
    <x v="0"/>
    <x v="4"/>
    <x v="0"/>
  </r>
  <r>
    <s v="AJ99"/>
    <s v="SEC"/>
    <x v="58"/>
    <n v="38"/>
    <n v="2438"/>
    <d v="2024-09-18T00:00:00"/>
    <d v="1899-12-30T16:58:54"/>
    <d v="1899-12-30T17:02:57"/>
    <x v="237"/>
    <n v="3.89"/>
    <s v="FC-001"/>
    <s v="SDLG "/>
    <n v="52928764"/>
    <s v="P808284"/>
    <s v="P808284"/>
    <s v="Y"/>
    <s v="WH"/>
    <s v="|mJM14| |NXE3800| |Proto20| &quot;Clear all function&quot; failed on WH-4CAA"/>
    <s v="[intake 2440]_x000a_wk46.2: Most likely no Sw delivery needed.  Could be Seq related"/>
    <x v="0"/>
    <x v="2"/>
    <x v="0"/>
    <s v="Wk43.3: linked to P810385"/>
    <m/>
    <x v="0"/>
    <x v="4"/>
    <x v="0"/>
  </r>
  <r>
    <s v="ET18"/>
    <s v="TSMC"/>
    <x v="0"/>
    <n v="38"/>
    <n v="2438"/>
    <d v="2024-09-17T00:00:00"/>
    <s v="N/A"/>
    <s v="N/A"/>
    <x v="240"/>
    <n v="5"/>
    <s v="FC-024"/>
    <s v="STRG"/>
    <n v="52928856"/>
    <m/>
    <s v=""/>
    <s v="N/A"/>
    <s v="no AIR"/>
    <s v="no AIR"/>
    <s v="no AIR"/>
    <x v="0"/>
    <x v="0"/>
    <x v="0"/>
    <s v="AIR &amp; SO to be created"/>
    <m/>
    <x v="0"/>
    <x v="0"/>
    <x v="0"/>
  </r>
  <r>
    <s v="ET18"/>
    <s v="TSMC"/>
    <x v="0"/>
    <n v="38"/>
    <n v="2438"/>
    <d v="2024-09-17T00:00:00"/>
    <s v="N/A"/>
    <s v="N/A"/>
    <x v="241"/>
    <n v="12"/>
    <m/>
    <s v="no FC filled"/>
    <m/>
    <m/>
    <s v=""/>
    <s v="N/A"/>
    <s v="no AIR"/>
    <s v="no AIR"/>
    <s v="no AIR"/>
    <x v="0"/>
    <x v="0"/>
    <x v="0"/>
    <s v="To be discussed with customer"/>
    <m/>
    <x v="5"/>
    <x v="5"/>
    <x v="1"/>
  </r>
  <r>
    <s v="ET18"/>
    <s v="TSMC"/>
    <x v="101"/>
    <n v="38"/>
    <n v="2438"/>
    <d v="2024-09-17T00:00:00"/>
    <d v="1899-12-30T22:39:45"/>
    <s v="N/A"/>
    <x v="242"/>
    <n v="1"/>
    <m/>
    <s v="no FC filled"/>
    <n v="52928264"/>
    <m/>
    <s v=""/>
    <s v="N"/>
    <s v="no AIR"/>
    <s v="no AIR"/>
    <s v="no AIR"/>
    <x v="0"/>
    <x v="0"/>
    <x v="0"/>
    <m/>
    <m/>
    <x v="0"/>
    <x v="0"/>
    <x v="0"/>
  </r>
  <r>
    <s v="AJ99"/>
    <s v="SEC"/>
    <x v="102"/>
    <n v="38"/>
    <n v="2438"/>
    <d v="2024-09-17T00:00:00"/>
    <d v="1899-12-30T20:36:02"/>
    <s v="N/A"/>
    <x v="243"/>
    <n v="7.5"/>
    <s v="FC-003"/>
    <s v="JHVD "/>
    <n v="52928423"/>
    <s v="n/a"/>
    <s v="n/a"/>
    <s v="Y"/>
    <s v="n/a"/>
    <s v="n/a"/>
    <s v="n/a"/>
    <x v="0"/>
    <x v="0"/>
    <x v="0"/>
    <s v="Customer accountable -Change customer online setting and Track online setting"/>
    <m/>
    <x v="5"/>
    <x v="5"/>
    <x v="0"/>
  </r>
  <r>
    <s v="AJ99"/>
    <s v="SEC"/>
    <x v="103"/>
    <n v="38"/>
    <n v="2438"/>
    <d v="2024-09-17T00:00:00"/>
    <d v="1899-12-30T18:53:53"/>
    <s v="N/A"/>
    <x v="244"/>
    <n v="0.5"/>
    <s v="FC-001"/>
    <s v="MFSX"/>
    <n v="52928841"/>
    <s v="P756116"/>
    <s v="P756116"/>
    <s v="Incorrect"/>
    <s v="WH"/>
    <s v="[mFG96] WHAV CN-00C0 timeout 10 minutes after MMDC"/>
    <s v="[intake 2418]_x000a_wk42.2 Ontrack, code already in QBL_x000a_wk38.5: On track"/>
    <x v="0"/>
    <x v="0"/>
    <x v="0"/>
    <s v="MFSX-wk2440.4: DV-002C is most likely not the root error. At the given timestamp it is being logged three times, once for SUR, once for SLR and once for VPA. Each time it says &quot;invalid state detected for xxx&quot;. This indicates that there might be a common underlying root cause._x000a_MFSX-wk2440.4: The Timestamp in the SO is wrong. At the there given timestamp no DV-002C can be found. For my investigation I looked at sept 17th 18:53."/>
    <m/>
    <x v="0"/>
    <x v="0"/>
    <x v="0"/>
  </r>
  <r>
    <s v="AJ99"/>
    <s v="SEC"/>
    <x v="67"/>
    <n v="38"/>
    <n v="2438"/>
    <d v="2024-09-17T00:00:00"/>
    <d v="1899-12-30T14:56:42"/>
    <s v="N/A"/>
    <x v="245"/>
    <n v="3"/>
    <s v="FC-001"/>
    <s v="SDLG "/>
    <n v="52928330"/>
    <s v="n/a"/>
    <s v="n/a"/>
    <s v="Y"/>
    <s v="n/a"/>
    <s v="n/a"/>
    <s v="n/a"/>
    <x v="0"/>
    <x v="0"/>
    <x v="0"/>
    <s v="Customer closed CH cover wrongly "/>
    <m/>
    <x v="4"/>
    <x v="5"/>
    <x v="0"/>
  </r>
  <r>
    <s v="AJ99"/>
    <s v="SEC"/>
    <x v="58"/>
    <n v="38"/>
    <n v="2438"/>
    <d v="2024-09-17T00:00:00"/>
    <d v="1899-12-30T22:00:06"/>
    <d v="1899-12-30T22:00:06"/>
    <x v="237"/>
    <n v="5.71"/>
    <s v="FC-001"/>
    <s v="SDLG "/>
    <n v="52928764"/>
    <s v="P808284/ Operator error"/>
    <s v="P808284/ Operator error"/>
    <s v="Y"/>
    <s v="n/a"/>
    <s v="n/a"/>
    <s v="n/a"/>
    <x v="2"/>
    <x v="2"/>
    <x v="0"/>
    <s v="Wk43.3: linked to P810385"/>
    <s v="Y"/>
    <x v="4"/>
    <x v="3"/>
    <x v="0"/>
  </r>
  <r>
    <s v="ET18"/>
    <s v="TSMC"/>
    <x v="0"/>
    <n v="38"/>
    <n v="2438"/>
    <d v="2024-09-16T00:00:00"/>
    <s v="N/A"/>
    <s v="N/A"/>
    <x v="246"/>
    <n v="6"/>
    <m/>
    <s v="no FC filled"/>
    <m/>
    <m/>
    <s v=""/>
    <s v="N/A"/>
    <s v="no AIR"/>
    <s v="no AIR"/>
    <s v="no AIR"/>
    <x v="0"/>
    <x v="0"/>
    <x v="0"/>
    <m/>
    <m/>
    <x v="5"/>
    <x v="5"/>
    <x v="0"/>
  </r>
  <r>
    <s v="EZ60"/>
    <s v="Intel"/>
    <x v="104"/>
    <n v="38"/>
    <n v="2438"/>
    <d v="2024-09-16T00:00:00"/>
    <d v="1899-12-30T11:39:31"/>
    <s v="N/A"/>
    <x v="247"/>
    <n v="7"/>
    <s v="FC-001"/>
    <s v="SDLG "/>
    <m/>
    <s v="P805757"/>
    <s v="P805757"/>
    <s v="Y"/>
    <s v="EL"/>
    <s v="[SP38][BTR4] Wafcar can't start because system is not prepared for running lots failing on LO-841E"/>
    <s v=""/>
    <x v="0"/>
    <x v="0"/>
    <x v="0"/>
    <s v="Resolved with 003632c patch install"/>
    <m/>
    <x v="0"/>
    <x v="6"/>
    <x v="0"/>
  </r>
  <r>
    <s v="EZ60"/>
    <s v="Intel"/>
    <x v="0"/>
    <n v="37"/>
    <n v="2437"/>
    <d v="2024-09-15T00:00:00"/>
    <s v="N/A"/>
    <s v="N/A"/>
    <x v="248"/>
    <n v="8"/>
    <s v="FC-001"/>
    <s v="SDLG "/>
    <n v="52927424"/>
    <m/>
    <s v=""/>
    <s v="N/A"/>
    <s v="no AIR"/>
    <s v="no AIR"/>
    <s v="no AIR"/>
    <x v="0"/>
    <x v="0"/>
    <x v="0"/>
    <s v="DTOM: Requested info from field wk38.5"/>
    <m/>
    <x v="0"/>
    <x v="0"/>
    <x v="0"/>
  </r>
  <r>
    <s v="AJ99"/>
    <s v="SEC"/>
    <x v="105"/>
    <n v="37"/>
    <n v="2437"/>
    <d v="2024-09-15T00:00:00"/>
    <d v="1899-12-30T16:18:23"/>
    <s v="N/A"/>
    <x v="249"/>
    <n v="0.5"/>
    <s v="FC-001"/>
    <s v="SDLG "/>
    <n v="52927014"/>
    <s v="P737803"/>
    <s v="P737803"/>
    <s v="Incorrect"/>
    <s v="WH"/>
    <s v="Overvoltage - Wafer shifted on SLR after HIPA MMDC error during XWLREU"/>
    <s v="[intake 2430] _x000a_wk42.4: Coverage reduced to 0 since no hits in last 8 weeks_x000a_wk41.4: Issue is parent of P804052 which was initially in our ambition list"/>
    <x v="0"/>
    <x v="0"/>
    <x v="0"/>
    <s v="MFSX-wk2440.5: Wrong root cause in SO and this Excel? If I lok at SDT I would investigate the Lot Termination at 14:18:13 that failed due to WP-2C1D at 14:20:34."/>
    <m/>
    <x v="0"/>
    <x v="0"/>
    <x v="0"/>
  </r>
  <r>
    <s v="AJ99"/>
    <s v="SEC"/>
    <x v="106"/>
    <n v="37"/>
    <n v="2437"/>
    <d v="2024-09-15T00:00:00"/>
    <d v="1899-12-30T15:56:15"/>
    <s v="N/A"/>
    <x v="250"/>
    <n v="0.5"/>
    <s v="FC-003"/>
    <s v="JHVD "/>
    <n v="52926918"/>
    <s v="P802695"/>
    <s v="P802695"/>
    <s v="Y"/>
    <s v="not found"/>
    <s v="not found"/>
    <s v="not found"/>
    <x v="0"/>
    <x v="0"/>
    <x v="0"/>
    <m/>
    <m/>
    <x v="0"/>
    <x v="0"/>
    <x v="0"/>
  </r>
  <r>
    <s v="EZ60"/>
    <s v="Intel"/>
    <x v="107"/>
    <n v="37"/>
    <n v="2437"/>
    <d v="2024-09-15T00:00:00"/>
    <d v="1899-12-30T05:09:04"/>
    <s v="N/A"/>
    <x v="251"/>
    <n v="6"/>
    <s v="FC-002"/>
    <s v="ANHG"/>
    <n v="52927422"/>
    <s v="P818250"/>
    <s v="P818250"/>
    <s v="Y"/>
    <s v="not found"/>
    <s v="not found"/>
    <s v="not found"/>
    <x v="0"/>
    <x v="0"/>
    <x v="0"/>
    <m/>
    <m/>
    <x v="0"/>
    <x v="0"/>
    <x v="0"/>
  </r>
  <r>
    <s v="AJ99"/>
    <s v="SEC"/>
    <x v="30"/>
    <n v="37"/>
    <n v="2437"/>
    <d v="2024-09-15T00:00:00"/>
    <d v="1899-12-30T14:20:34"/>
    <d v="1899-12-30T14:20:47"/>
    <x v="252"/>
    <n v="3"/>
    <s v="FC-003"/>
    <s v="JHVD "/>
    <n v="52922977"/>
    <s v="P809444"/>
    <s v="P809444"/>
    <s v="Y"/>
    <s v="WS"/>
    <s v="SSB5 reboots during operation which leads to disable intervention"/>
    <s v="[intake 2438]_x000a_Wk39.3 QBL delivery ongoing. Patches expected on track for batch 4b. 9k Patch on track for 39.5. 400k available for reliab run if needed._x000a_wk38.5 Firmware update needed to make it more robuust. Highest prio, planning expected wk38.5"/>
    <x v="2"/>
    <x v="2"/>
    <x v="0"/>
    <s v="Advised to swap SSB by D&amp;E. Waiting for confirmation"/>
    <m/>
    <x v="0"/>
    <x v="9"/>
    <x v="0"/>
  </r>
  <r>
    <s v="AJ99"/>
    <s v="SEC"/>
    <x v="95"/>
    <n v="37"/>
    <n v="2437"/>
    <d v="2024-09-14T00:00:00"/>
    <d v="1899-12-30T08:57:27"/>
    <s v="N/A"/>
    <x v="253"/>
    <n v="3"/>
    <s v="FC-025"/>
    <s v="STRG"/>
    <n v="52926687"/>
    <m/>
    <s v=""/>
    <s v="N/A"/>
    <s v="no AIR"/>
    <s v="no AIR"/>
    <s v="no AIR"/>
    <x v="0"/>
    <x v="0"/>
    <x v="0"/>
    <s v="remove WPPGV2 trace to backup folder and cleared"/>
    <m/>
    <x v="2"/>
    <x v="1"/>
    <x v="0"/>
  </r>
  <r>
    <s v="AJ99"/>
    <s v="SEC"/>
    <x v="30"/>
    <n v="37"/>
    <n v="2437"/>
    <d v="2024-09-14T00:00:00"/>
    <d v="1899-12-30T05:09:08"/>
    <s v="N/A"/>
    <x v="254"/>
    <n v="0.2"/>
    <s v="FC-003"/>
    <s v="JHVD "/>
    <n v="52926440"/>
    <s v="P760446"/>
    <s v="P760446"/>
    <s v="Y"/>
    <s v="KW"/>
    <s v="[VDH][BTR4] Error detected in SSRL interface to CARM rack. The MPAC4 PLL reports a lock error "/>
    <s v="[intake 2438.5]_x000a_wk40.3: PLL lock issue. BTR4 testtime required. Potentially delivery plan in 2wks. Confirm planning wk41.3_x000a_wk39.3: Issue to be reproduced in BTR4 _x000a_wk27.2: Diag issues still ongoing. Come back in a week _x000a_wk26.4: Testing moved to system from"/>
    <x v="0"/>
    <x v="0"/>
    <x v="0"/>
    <m/>
    <m/>
    <x v="0"/>
    <x v="4"/>
    <x v="0"/>
  </r>
  <r>
    <s v="AJ99"/>
    <s v="SEC"/>
    <x v="108"/>
    <n v="37"/>
    <n v="2437"/>
    <d v="2024-09-14T00:00:00"/>
    <d v="1899-12-30T01:41:26"/>
    <s v="N/A"/>
    <x v="255"/>
    <m/>
    <s v="FC-001"/>
    <s v="SDLG "/>
    <n v="52926342"/>
    <s v="P819980"/>
    <s v="P819980"/>
    <s v="N"/>
    <s v="not found"/>
    <s v="not found"/>
    <s v="not found"/>
    <x v="0"/>
    <x v="0"/>
    <x v="0"/>
    <s v="DTOM wk38.5 Requested AIR"/>
    <m/>
    <x v="2"/>
    <x v="1"/>
    <x v="0"/>
  </r>
  <r>
    <s v="AJ99"/>
    <s v="SEC"/>
    <x v="109"/>
    <n v="37"/>
    <n v="2437"/>
    <d v="2024-09-14T00:00:00"/>
    <d v="1899-12-30T00:36:34"/>
    <s v="N/A"/>
    <x v="256"/>
    <n v="3.3"/>
    <s v="FC-009"/>
    <s v="MKWQ"/>
    <n v="52926684"/>
    <s v="P819187"/>
    <s v="P819187"/>
    <s v="Y"/>
    <s v="DC"/>
    <s v="Wafer reject with KG-0205 due to incorrect SLCF update"/>
    <s v="[intake 2440]"/>
    <x v="0"/>
    <x v="0"/>
    <x v="0"/>
    <s v="Force sensor matching following PCS and cleared (DTOM: Wrong MC setting)"/>
    <m/>
    <x v="0"/>
    <x v="0"/>
    <x v="0"/>
  </r>
  <r>
    <s v="AJ99"/>
    <s v="SEC"/>
    <x v="82"/>
    <n v="37"/>
    <n v="2437"/>
    <d v="2024-09-14T00:00:00"/>
    <d v="1899-12-30T01:07:36"/>
    <d v="1899-12-30T01:07:41"/>
    <x v="46"/>
    <n v="15.66"/>
    <s v="FC-063"/>
    <s v="MKWQ"/>
    <n v="52926317"/>
    <s v="P800469"/>
    <s v="P800469"/>
    <s v="Y"/>
    <s v="ME"/>
    <s v="Pi8 WafCar lot aborted due to root error KI-6206 'The AbCoM measurement quality was too low'"/>
    <s v="[Intake 2437]_x000a_wk44.3: First code expected wk44.5, testing wk45. So still under review if we can meet plan (only SP38 9k)_x000a_wk42.3: SP37 + SP38 9k, customer release wk47 and wk46.4 QBL delivery. Check back on when SP38 rolls out to field  _x000a_wk41.3 Solution ph"/>
    <x v="2"/>
    <x v="2"/>
    <x v="0"/>
    <s v="Auto recovery success_x000a_DTOM: changed AIR based on check from Ilias"/>
    <m/>
    <x v="0"/>
    <x v="2"/>
    <x v="1"/>
  </r>
  <r>
    <s v="AJ99"/>
    <s v="SEC"/>
    <x v="0"/>
    <n v="37"/>
    <n v="2437"/>
    <d v="2024-09-13T00:00:00"/>
    <s v="N/A"/>
    <s v="N/A"/>
    <x v="257"/>
    <n v="1.5"/>
    <s v="FC-025"/>
    <s v="STRG"/>
    <n v="52924531"/>
    <m/>
    <s v=""/>
    <s v="N/A"/>
    <s v="no AIR"/>
    <s v="no AIR"/>
    <s v="no AIR"/>
    <x v="0"/>
    <x v="0"/>
    <x v="0"/>
    <m/>
    <m/>
    <x v="0"/>
    <x v="0"/>
    <x v="0"/>
  </r>
  <r>
    <s v="AJ99"/>
    <s v="SEC"/>
    <x v="103"/>
    <n v="37"/>
    <n v="2437"/>
    <d v="2024-09-13T00:00:00"/>
    <d v="1899-12-30T16:53:41"/>
    <s v="N/A"/>
    <x v="258"/>
    <m/>
    <s v="FC-001"/>
    <s v="SDLG "/>
    <n v="52926173"/>
    <s v="P757472 "/>
    <s v="P757472 "/>
    <s v="Y"/>
    <s v="not found"/>
    <s v="not found"/>
    <s v="not found"/>
    <x v="0"/>
    <x v="0"/>
    <x v="0"/>
    <s v="DTOM wk38.5 Requested check from WH team"/>
    <m/>
    <x v="0"/>
    <x v="0"/>
    <x v="0"/>
  </r>
  <r>
    <s v="AJ99"/>
    <s v="SEC"/>
    <x v="110"/>
    <n v="37"/>
    <n v="2437"/>
    <d v="2024-09-12T00:00:00"/>
    <d v="1899-12-30T23:34:33"/>
    <s v="N/A"/>
    <x v="259"/>
    <n v="0.5"/>
    <s v="FC-012"/>
    <s v="ARWY "/>
    <n v="52925475"/>
    <s v="P803536"/>
    <s v="P803536"/>
    <s v="Y"/>
    <s v="PR"/>
    <s v="PMHC HLQB LD4 release for several quality and design issues"/>
    <s v="[PMHC LD4] PMHC#42 (wk5)"/>
    <x v="0"/>
    <x v="0"/>
    <x v="0"/>
    <s v="Host reset and cleared"/>
    <m/>
    <x v="0"/>
    <x v="4"/>
    <x v="0"/>
  </r>
  <r>
    <s v="ET18"/>
    <s v="TSMC"/>
    <x v="111"/>
    <n v="37"/>
    <n v="2437"/>
    <d v="2024-09-12T00:00:00"/>
    <d v="1899-12-30T06:20:00"/>
    <s v="N/A"/>
    <x v="260"/>
    <n v="8"/>
    <s v="FC-002"/>
    <s v="ANHG"/>
    <n v="52924739"/>
    <s v="P826795"/>
    <s v="P826795"/>
    <s v="Y"/>
    <s v="not found"/>
    <s v="not found"/>
    <s v="not found"/>
    <x v="0"/>
    <x v="0"/>
    <x v="0"/>
    <m/>
    <m/>
    <x v="0"/>
    <x v="0"/>
    <x v="0"/>
  </r>
  <r>
    <s v="AJ99"/>
    <s v="SEC"/>
    <x v="25"/>
    <n v="37"/>
    <n v="2437"/>
    <d v="2024-09-12T00:00:00"/>
    <d v="1899-12-30T05:27:56"/>
    <d v="1899-12-30T05:48:12"/>
    <x v="261"/>
    <n v="0.74"/>
    <s v="FC-003"/>
    <s v="MFSX"/>
    <n v="52924419"/>
    <s v="P759629"/>
    <s v="P759629"/>
    <s v="Y"/>
    <s v="WS"/>
    <s v="WS terminate sequence leads to LoS collisions with CP/EoS"/>
    <s v=""/>
    <x v="2"/>
    <x v="2"/>
    <x v="0"/>
    <s v="Need AIR Verification. DTOM wk38.5 mailed SEC for AIR_x000a__x000a_MFSX-wk2441.1: We do not have an AIR for this issue yet. According to SO, a re-init fixed the issue with the WS."/>
    <m/>
    <x v="0"/>
    <x v="3"/>
    <x v="0"/>
  </r>
  <r>
    <s v="AJ99"/>
    <s v="SEC"/>
    <x v="30"/>
    <n v="37"/>
    <n v="2437"/>
    <d v="2024-09-11T00:00:00"/>
    <d v="1899-12-30T19:39:07"/>
    <s v="N/A"/>
    <x v="262"/>
    <n v="0.5"/>
    <s v="FC-003"/>
    <s v="JHVD "/>
    <n v="52924301"/>
    <s v="P760446"/>
    <s v="P760446"/>
    <s v="Y"/>
    <s v="KW"/>
    <s v="[VDH][BTR4] Error detected in SSRL interface to CARM rack. The MPAC4 PLL reports a lock error "/>
    <s v="[intake 2438.5]_x000a_wk40.3: PLL lock issue. BTR4 testtime required. Potentially delivery plan in 2wks. Confirm planning wk41.3_x000a_wk39.3: Issue to be reproduced in BTR4 _x000a_wk27.2: Diag issues still ongoing. Come back in a week _x000a_wk26.4: Testing moved to system from"/>
    <x v="0"/>
    <x v="0"/>
    <x v="0"/>
    <s v="Init solved item"/>
    <m/>
    <x v="1"/>
    <x v="6"/>
    <x v="0"/>
  </r>
  <r>
    <s v="AJ99"/>
    <s v="SEC"/>
    <x v="53"/>
    <n v="37"/>
    <n v="2437"/>
    <d v="2024-09-11T00:00:00"/>
    <d v="1899-12-30T19:10:00"/>
    <s v="N/A"/>
    <x v="263"/>
    <m/>
    <s v="FC-028"/>
    <s v="not found"/>
    <n v="52924086"/>
    <s v="P817595"/>
    <s v="P817595"/>
    <s v="Y"/>
    <s v="MA"/>
    <s v="Cannot start/stop lot queue due to &quot;Lot operation&quot; window hangup"/>
    <s v="[intake 2447]"/>
    <x v="0"/>
    <x v="0"/>
    <x v="0"/>
    <m/>
    <m/>
    <x v="0"/>
    <x v="0"/>
    <x v="0"/>
  </r>
  <r>
    <s v="AJ99"/>
    <s v="SEC"/>
    <x v="112"/>
    <n v="37"/>
    <n v="2437"/>
    <d v="2024-09-11T00:00:00"/>
    <d v="1899-12-30T11:25:22"/>
    <s v="N/A"/>
    <x v="264"/>
    <m/>
    <s v="FC-004"/>
    <s v="ANHG"/>
    <n v="52923884"/>
    <s v="P720720"/>
    <s v="P720720"/>
    <s v="Y"/>
    <s v="RS"/>
    <s v="[MTBF] HREUPT Cycling Failed - RQ-B006 MPAC peak current too high"/>
    <s v="wk36.5 Wilton confirmed to have patch on Monday_x000a_wk34.3:Check if 9k is already in SP36c_x000a_wk28.4 Waiting test time, expected wk29_x000a_wk19.5 21x hits seen already. Main blocker for Top cluster"/>
    <x v="0"/>
    <x v="0"/>
    <x v="0"/>
    <m/>
    <m/>
    <x v="0"/>
    <x v="1"/>
    <x v="0"/>
  </r>
  <r>
    <s v="AJ99"/>
    <s v="SEC"/>
    <x v="30"/>
    <n v="37"/>
    <n v="2437"/>
    <d v="2024-09-11T00:00:00"/>
    <d v="1899-12-30T06:23:42"/>
    <s v="N/A"/>
    <x v="265"/>
    <m/>
    <s v="FC-003"/>
    <s v="JHVD "/>
    <n v="52923695"/>
    <s v="P796308"/>
    <s v="P796308"/>
    <s v="Y"/>
    <s v="CS"/>
    <s v="[BL7.0] Synchronous start of chuck exchange delayed for the E2M chuck during LOT = MMDC error --&gt; CEX Brake"/>
    <s v="[intake 2431]_x000a_wk44.3: UID not executed yet. Eric vd Palen reviewing first slot, also tomorrow back in 12 o'clock. SP38 9k still possible if successfull wk45.5_x000a_wk42.3:  Combo patch planned, testing ongoing (pr23). 9k for SP38 current estimation wk44.5_x000a_wk40"/>
    <x v="0"/>
    <x v="0"/>
    <x v="0"/>
    <s v="JHVD 2441.2: entry is not in AVP. The link between the SO and Down Event in AVP is only based on Machine Learning Suggestions"/>
    <m/>
    <x v="0"/>
    <x v="4"/>
    <x v="0"/>
  </r>
  <r>
    <s v="AJ99"/>
    <s v="SEC"/>
    <x v="113"/>
    <n v="37"/>
    <n v="2437"/>
    <d v="2024-09-11T00:00:00"/>
    <d v="1899-12-30T00:01:53"/>
    <d v="1899-12-30T00:01:55"/>
    <x v="266"/>
    <n v="1.05"/>
    <s v="FC-071"/>
    <s v="JMTP "/>
    <n v="52923642"/>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2"/>
    <x v="2"/>
    <x v="0"/>
    <m/>
    <m/>
    <x v="0"/>
    <x v="3"/>
    <x v="0"/>
  </r>
  <r>
    <s v="AJ99"/>
    <s v="SEC"/>
    <x v="114"/>
    <n v="37"/>
    <n v="2437"/>
    <d v="2024-09-10T00:00:00"/>
    <d v="1899-12-30T00:12:16"/>
    <s v="N/A"/>
    <x v="267"/>
    <n v="2"/>
    <s v="FC-012"/>
    <s v="ARWY "/>
    <n v="52922760"/>
    <s v="P748414"/>
    <s v="P748414"/>
    <s v="Y"/>
    <s v="PR"/>
    <s v="MPH init 1st 3 steps failed on: CV-125E - SRIO BUS error while reading from address 0x00800050 (effective address=0x3fff69800050) at endpoint with id 0x1"/>
    <s v="wk51.4 | SP41 +9k for Sp39 &amp; SP40_x000a_wk42.3 Plan for wk50. Check-in planned at wk45_x000a_wk41.3: On track_x000a_wk37.3: RCA done _x000a_Wk36.3: RCA will start _x000a_Wk35.3: need to pull in the RC investigation now. Confirm by end of this week._x000a_wk34.3 Confirm plan, stays in Batch "/>
    <x v="0"/>
    <x v="0"/>
    <x v="0"/>
    <m/>
    <m/>
    <x v="0"/>
    <x v="4"/>
    <x v="0"/>
  </r>
  <r>
    <s v="AJ99"/>
    <s v="SEC"/>
    <x v="8"/>
    <n v="37"/>
    <n v="2437"/>
    <d v="2024-09-10T00:00:00"/>
    <d v="1899-12-30T03:25:50"/>
    <d v="1899-12-30T03:39:59"/>
    <x v="268"/>
    <n v="0.28000000000000003"/>
    <s v="FC-006"/>
    <s v="MKWQ"/>
    <n v="52922567"/>
    <s v="P815607"/>
    <s v="P815607"/>
    <s v="Y"/>
    <s v="IS"/>
    <s v="[MTBF] IS-1363 SW hiccup"/>
    <s v="New issue Wk 37: Problem stage open_x000a__x000a_wk37.3: No data available since tdf is lost after 1 week of hit"/>
    <x v="2"/>
    <x v="2"/>
    <x v="0"/>
    <m/>
    <m/>
    <x v="0"/>
    <x v="7"/>
    <x v="0"/>
  </r>
  <r>
    <s v="AJ99"/>
    <s v="SEC"/>
    <x v="30"/>
    <n v="37"/>
    <n v="2437"/>
    <d v="2024-09-09T00:00:00"/>
    <d v="1899-12-30T19:01:49"/>
    <s v="N/A"/>
    <x v="252"/>
    <m/>
    <s v="FC-003"/>
    <s v="JHVD "/>
    <n v="52922977"/>
    <s v="P809444"/>
    <s v="P809444"/>
    <s v="Y"/>
    <s v="WS"/>
    <s v="SSB5 reboots during operation which leads to disable intervention"/>
    <s v="[intake 2438]_x000a_Wk39.3 QBL delivery ongoing. Patches expected on track for batch 4b. 9k Patch on track for 39.5. 400k available for reliab run if needed._x000a_wk38.5 Firmware update needed to make it more robuust. Highest prio, planning expected wk38.5"/>
    <x v="0"/>
    <x v="0"/>
    <x v="0"/>
    <s v="Advised to swap SSB by D&amp;E Waiting for confirmation"/>
    <m/>
    <x v="0"/>
    <x v="6"/>
    <x v="0"/>
  </r>
  <r>
    <s v="EZ60"/>
    <s v="Intel"/>
    <x v="0"/>
    <n v="37"/>
    <n v="2437"/>
    <d v="2024-09-09T00:00:00"/>
    <d v="1899-12-30T17:32:00"/>
    <s v="N/A"/>
    <x v="269"/>
    <m/>
    <s v="FC-024"/>
    <s v="STRG"/>
    <n v="52922885"/>
    <s v="P816858"/>
    <s v="P816858"/>
    <s v="Y"/>
    <s v="not found"/>
    <s v="not found"/>
    <s v="not found"/>
    <x v="0"/>
    <x v="0"/>
    <x v="0"/>
    <s v="Important files were gone (.bash_profile and .bashrc). Seems as an operator error. AIR created to make these files non-deletable."/>
    <m/>
    <x v="4"/>
    <x v="4"/>
    <x v="0"/>
  </r>
  <r>
    <s v="AJ99"/>
    <s v="SEC"/>
    <x v="64"/>
    <n v="37"/>
    <n v="2437"/>
    <d v="2024-09-09T00:00:00"/>
    <d v="1899-12-30T22:58:34"/>
    <d v="1899-12-30T23:12:36"/>
    <x v="270"/>
    <n v="2.75"/>
    <s v="FC-009"/>
    <s v="MKWQ"/>
    <n v="52922411"/>
    <s v="P807774"/>
    <s v="P807774"/>
    <s v="Y"/>
    <s v="DC"/>
    <s v="[E100] Lot fails on DW-5C00/ DW-5A01 error due to +/-2 wbin mismatch (E100 FW containment) (KH72, JF75) SP40"/>
    <s v="[intake 2437]_x000a_wk38.3: Linked to P805764_x000a_wk37.3: RC known and solution already available in SPA 140v2 - 614017_x000a_wk2437.1 New hit seen on Pi10 during reliab (Wafer reject only)"/>
    <x v="2"/>
    <x v="2"/>
    <x v="0"/>
    <s v="Link to leading issue P805764 was P816468"/>
    <m/>
    <x v="0"/>
    <x v="4"/>
    <x v="0"/>
  </r>
  <r>
    <s v="EZ60"/>
    <s v="Intel"/>
    <x v="20"/>
    <n v="37"/>
    <n v="2437"/>
    <d v="2024-09-09T00:00:00"/>
    <d v="1899-12-30T00:13:17"/>
    <d v="1899-12-30T01:26:01"/>
    <x v="271"/>
    <n v="0.97"/>
    <s v="FC-071"/>
    <s v="JMTP "/>
    <n v="52922016"/>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2"/>
    <x v="2"/>
    <x v="0"/>
    <m/>
    <m/>
    <x v="0"/>
    <x v="3"/>
    <x v="0"/>
  </r>
  <r>
    <s v="AJ99"/>
    <s v="SEC"/>
    <x v="30"/>
    <n v="37"/>
    <n v="2437"/>
    <d v="2024-09-09T00:00:00"/>
    <d v="1899-12-30T00:35:00"/>
    <d v="1899-12-30T00:35:00"/>
    <x v="272"/>
    <n v="0.48"/>
    <s v="FC-003"/>
    <s v="JHVD "/>
    <n v="52921451"/>
    <s v="P816892"/>
    <s v="P816892"/>
    <s v="Y"/>
    <s v="BM"/>
    <s v="[XLD][3800- AJ99]TC2BF_Z2 TC2BF_ACC_CM_VOLT_TOO_HIGH_ERROR"/>
    <s v="[intake 2440]"/>
    <x v="2"/>
    <x v="2"/>
    <x v="0"/>
    <s v="PCA and encoder swap done. Issue cleared after swap​. DTOM wk38.5 mailed SEC for AIR"/>
    <m/>
    <x v="1"/>
    <x v="4"/>
    <x v="0"/>
  </r>
  <r>
    <s v="EZ60"/>
    <s v="Intel"/>
    <x v="0"/>
    <n v="36"/>
    <n v="2436"/>
    <d v="2024-09-08T00:00:00"/>
    <s v="N/A"/>
    <s v="N/A"/>
    <x v="273"/>
    <m/>
    <m/>
    <s v="no FC filled"/>
    <n v="52892358"/>
    <s v="P808668"/>
    <s v="P808668"/>
    <s v="N"/>
    <s v="not found"/>
    <s v="not found"/>
    <s v="not found"/>
    <x v="0"/>
    <x v="0"/>
    <x v="0"/>
    <m/>
    <m/>
    <x v="0"/>
    <x v="4"/>
    <x v="0"/>
  </r>
  <r>
    <s v="AJ99"/>
    <s v="SEC"/>
    <x v="35"/>
    <n v="36"/>
    <n v="2436"/>
    <d v="2024-09-08T00:00:00"/>
    <d v="1899-12-30T16:42:22"/>
    <s v="N/A"/>
    <x v="274"/>
    <n v="4.5"/>
    <s v="FC-003"/>
    <s v="JHVD "/>
    <n v="52921230"/>
    <s v="P811792"/>
    <s v="P811792"/>
    <s v="Y"/>
    <s v="WS"/>
    <s v="CPDs failing on BL6.1 (SP36) on WS MMDC - fatal position error in Z-direction"/>
    <s v="wk38.3: On track for Batch 4a delivery"/>
    <x v="0"/>
    <x v="0"/>
    <x v="0"/>
    <m/>
    <m/>
    <x v="0"/>
    <x v="6"/>
    <x v="0"/>
  </r>
  <r>
    <s v="EZ60"/>
    <s v="Intel"/>
    <x v="7"/>
    <n v="36"/>
    <n v="2436"/>
    <d v="2024-09-07T00:00:00"/>
    <d v="1899-12-30T03:19:20"/>
    <d v="1899-12-30T04:23:01"/>
    <x v="275"/>
    <n v="2.5499999999999998"/>
    <s v="FC-004"/>
    <s v="ANHG"/>
    <n v="52920856"/>
    <s v="P817307"/>
    <s v="P817307"/>
    <s v="Y"/>
    <s v="RS"/>
    <s v="[MTBF] RS MMDC PG-4990/RQ-B006 MPAC"/>
    <s v="[wk2440.2]_x000a_wk42.3: No hits in recent weeks, still monitoring _x000a__x000a_ moved back to WIP ambition list since not solved wi P720720"/>
    <x v="2"/>
    <x v="2"/>
    <x v="0"/>
    <m/>
    <m/>
    <x v="0"/>
    <x v="4"/>
    <x v="0"/>
  </r>
  <r>
    <s v="EZ60"/>
    <s v="Intel"/>
    <x v="22"/>
    <n v="36"/>
    <n v="2436"/>
    <d v="2024-09-05T00:00:00"/>
    <d v="1899-12-30T00:37:16"/>
    <d v="1899-12-30T00:29:01"/>
    <x v="276"/>
    <n v="0.52"/>
    <s v="FC-001"/>
    <s v="SDLG "/>
    <s v="N/A"/>
    <s v="P756116"/>
    <s v="P756116"/>
    <s v="Y"/>
    <s v="WH"/>
    <s v="[mFG96] WHAV CN-00C0 timeout 10 minutes after MMDC"/>
    <s v="[intake 2418]_x000a_wk42.2 Ontrack, code already in QBL_x000a_wk38.5: On track"/>
    <x v="2"/>
    <x v="2"/>
    <x v="0"/>
    <m/>
    <m/>
    <x v="0"/>
    <x v="2"/>
    <x v="0"/>
  </r>
  <r>
    <s v="EZ60"/>
    <s v="Intel"/>
    <x v="88"/>
    <n v="36"/>
    <n v="2436"/>
    <d v="2024-09-04T00:00:00"/>
    <d v="1899-12-30T23:21:59"/>
    <s v="N/A"/>
    <x v="277"/>
    <n v="1"/>
    <s v="FC-001"/>
    <s v="SDLG "/>
    <n v="52919238"/>
    <s v="P784950"/>
    <s v="P784950"/>
    <s v="Y"/>
    <s v="not found"/>
    <s v="not found"/>
    <s v="not found"/>
    <x v="0"/>
    <x v="0"/>
    <x v="0"/>
    <s v="New issue. "/>
    <m/>
    <x v="0"/>
    <x v="2"/>
    <x v="0"/>
  </r>
  <r>
    <s v="EZ60"/>
    <s v="Intel"/>
    <x v="115"/>
    <n v="36"/>
    <n v="2436"/>
    <d v="2024-09-04T00:00:00"/>
    <d v="1899-12-30T01:25:01"/>
    <d v="1899-12-30T01:25:01"/>
    <x v="278"/>
    <n v="1.72"/>
    <s v="FC-076"/>
    <s v="KNGN"/>
    <n v="52918341"/>
    <s v="P704909"/>
    <s v="P704909"/>
    <s v="Y"/>
    <s v="MP"/>
    <s v="[3800 E100][ PSG LDC] Stale images deteced in TFM afterPP/MP subroutine (missing xTEC logic bit)"/>
    <s v="[intake 2432]"/>
    <x v="2"/>
    <x v="2"/>
    <x v="0"/>
    <m/>
    <m/>
    <x v="0"/>
    <x v="3"/>
    <x v="0"/>
  </r>
  <r>
    <s v="EZ60"/>
    <s v="Intel"/>
    <x v="43"/>
    <n v="36"/>
    <n v="2436"/>
    <d v="2024-09-03T00:00:00"/>
    <d v="1899-12-30T23:19:52"/>
    <d v="1899-12-30T23:50:00"/>
    <x v="279"/>
    <n v="0.62"/>
    <s v="FC-006"/>
    <s v="MKWQ"/>
    <n v="52918150"/>
    <s v="P801020"/>
    <s v="P801020"/>
    <s v="Y"/>
    <s v="n/a"/>
    <s v="n/a"/>
    <s v="n/a"/>
    <x v="0"/>
    <x v="2"/>
    <x v="0"/>
    <s v="SIER test failed during AP, Init fixed in SP39c"/>
    <s v="Y"/>
    <x v="0"/>
    <x v="4"/>
    <x v="0"/>
  </r>
  <r>
    <s v="EZ60"/>
    <s v="Intel"/>
    <x v="30"/>
    <n v="36"/>
    <n v="2436"/>
    <d v="2024-09-03T00:00:00"/>
    <d v="1899-12-30T14:16:04"/>
    <d v="1899-12-30T15:12:00"/>
    <x v="280"/>
    <n v="0.77"/>
    <s v="FC-003"/>
    <s v="JHVD "/>
    <n v="52917821"/>
    <s v="P806968"/>
    <s v="P806968"/>
    <s v="Y"/>
    <s v="KW"/>
    <s v="[MPAC4] TSEL PHY has instable link after startup in mirrored mode"/>
    <s v="[intake 2438]_x000a_wk40.3: RC understood and fix under testing_x000a_delivery. New HSI needed, likely to be delivered in wk44 _x000a_wk39.3: fix defined for both TSEL issues, testing fix this week. If this wroks 5 boards need FW update (can be released in 1 HSI, but lot o"/>
    <x v="0"/>
    <x v="2"/>
    <x v="0"/>
    <s v="14:16:04.014711  WP-2C1D  SUB CODE: [[X1:0xA1730001; ]]_x000a_                             WS MMDC error: WSPC2: Error detected in TSEL link20 interface to WS_PAAC11 (PAAC 880/100) in WSPC2 slot 24: No link detected_x000a_                             WS MMDC error_x000a_                             Function (0xA1) = WSPC2_x000a_                             Sub-func (0x73) = Error detected in TSEL link20 interface to WS_PAAC11 (PAAC 880/100) in WSPC2 slot 24_x000a_                             Error (0x0001) = No link detected_x000a_                             [WPMDV3|handle_mmdc_change:WPMDV3_MMDC_ROOT_ERROR]_x000a_                             [Wafer Positioning]_x000a_JHVD 2441.2: changed AIR P815552 to leading AIR P806968"/>
    <m/>
    <x v="0"/>
    <x v="0"/>
    <x v="0"/>
  </r>
  <r>
    <s v="EZ60"/>
    <s v="Intel"/>
    <x v="11"/>
    <n v="36"/>
    <n v="2436"/>
    <d v="2024-09-02T00:00:00"/>
    <d v="1899-12-30T15:58:47"/>
    <d v="1899-12-30T16:11:01"/>
    <x v="281"/>
    <n v="1.58"/>
    <s v="FC-001"/>
    <s v="SDLG "/>
    <n v="52916786"/>
    <s v="P814396"/>
    <s v="P814396"/>
    <s v="Y"/>
    <s v="WH"/>
    <s v="Lot abort due to WH-3106"/>
    <s v="[intake 2436]_x000a_wk42.2 Already in SP37. Ontrack_x000a_wk41.4 Delivery in SP37 - monitoring_x000a_wk39.2: Sw team needs to investigate further."/>
    <x v="2"/>
    <x v="2"/>
    <x v="0"/>
    <s v="AIR not created, new issue?"/>
    <m/>
    <x v="0"/>
    <x v="3"/>
    <x v="0"/>
  </r>
  <r>
    <s v="EZ60"/>
    <s v="Intel"/>
    <x v="12"/>
    <n v="36"/>
    <n v="2436"/>
    <d v="2024-09-02T00:00:00"/>
    <d v="1899-12-30T07:26:26"/>
    <d v="1899-12-30T08:04:01"/>
    <x v="282"/>
    <n v="3.22"/>
    <s v="FC-003"/>
    <s v="MFSX"/>
    <n v="52916617"/>
    <s v="P800996"/>
    <s v="P800996"/>
    <s v="Y"/>
    <s v="ME"/>
    <s v="[PR23][SCN] Lot abort on: PG-48B4"/>
    <s v="[intake 2429]_x000a_wk34.4: Deliver to QBL and 9k together_x000a_wk33.5: Solution known and to be belivered in wk34_x000a_wk33.2: To be transferred to Metro, pending alignment_x000a_wk30.2 No data --&gt; Monitoring"/>
    <x v="2"/>
    <x v="2"/>
    <x v="0"/>
    <s v="AIR is unclear, needs to be verified by local team_x000a__x000a_SEDV - WK2441.1: SDT time stamp: 07:26:26. In SO local team just took first warning as a root error (PG-957D) and then the issue reconciled as PG-48B4 with almost 40mins shifting (08:04:01 - compare to SDT). In AIR, I have seen same root error and description. Could you please re-check? _x000a_MFSX-wk2441.2: The SO 52916617 is  pointing to PG-957D, but the root error should be PG-48B4."/>
    <m/>
    <x v="0"/>
    <x v="3"/>
    <x v="0"/>
  </r>
  <r>
    <s v="EZ60"/>
    <s v="Intel"/>
    <x v="82"/>
    <n v="35"/>
    <n v="2435"/>
    <d v="2024-09-01T00:00:00"/>
    <d v="1899-12-30T04:15:30"/>
    <d v="1899-12-30T04:48:01"/>
    <x v="283"/>
    <n v="0.22"/>
    <s v="FC-063"/>
    <s v="MKWQ"/>
    <n v="52915669"/>
    <s v="P815426"/>
    <s v="P815426"/>
    <s v="Y"/>
    <s v="ME"/>
    <s v="KI-6206 ABCOM failure due to RA recovery"/>
    <s v="[intake 2437]_x000a_wk38.3: 4k to be delivered 38.5 and 9k external delivery 39.3_x000a_Wk 37: Testing ongoing. Solution phase closed_x000a_3x htis at Intel, reproduceable on DevBench"/>
    <x v="2"/>
    <x v="2"/>
    <x v="0"/>
    <s v="Batch 5 wk 44, 2nd hit in production, also occurred during install"/>
    <m/>
    <x v="0"/>
    <x v="3"/>
    <x v="0"/>
  </r>
  <r>
    <s v="EZ60"/>
    <s v="Intel"/>
    <x v="7"/>
    <n v="35"/>
    <n v="2435"/>
    <d v="2024-09-01T00:00:00"/>
    <s v="23:51:22 (31.08.2024)"/>
    <d v="1899-12-30T00:30:51"/>
    <x v="284"/>
    <n v="0.52"/>
    <s v="FC-004"/>
    <s v="ANHG"/>
    <n v="52915646"/>
    <s v="P720720"/>
    <s v="P720720"/>
    <s v="Y"/>
    <s v="RS"/>
    <s v="[MTBF] HREUPT Cycling Failed - RQ-B006 MPAC peak current too high"/>
    <s v="wk36.5 Wilton confirmed to have patch on Monday_x000a_wk34.3:Check if 9k is already in SP36c_x000a_wk28.4 Waiting test time, expected wk29_x000a_wk19.5 21x hits seen already. Main blocker for Top cluster"/>
    <x v="2"/>
    <x v="2"/>
    <x v="0"/>
    <s v="SP38, first hit of this error"/>
    <m/>
    <x v="0"/>
    <x v="3"/>
    <x v="0"/>
  </r>
  <r>
    <s v="EZ60"/>
    <s v="Intel"/>
    <x v="116"/>
    <n v="35"/>
    <n v="2435"/>
    <d v="2024-08-27T00:00:00"/>
    <d v="1899-12-30T16:36:43"/>
    <d v="1899-12-30T16:52:33"/>
    <x v="285"/>
    <n v="2.08"/>
    <s v="FC-012"/>
    <s v="ARWY "/>
    <n v="52912465"/>
    <s v="P815534"/>
    <s v="P815534"/>
    <s v="Y"/>
    <s v="PR"/>
    <s v="[3800][EZ60] PG-6208 [PXxAVS:Ctrl.X.FB.ChkError]  Servo error: steady state position error. "/>
    <s v="[intake 2437]_x000a_wk44.3: 'False earthquake detection'. 2 different hits (1x vibration in airmount triggered AVIS to open loop, 1x hit when system idle will be targetted with this AIR wk45.3)_x000a_wk41.3: No follow up done. Stuck at waiting for info _x000a_wk40.3: RC ex"/>
    <x v="2"/>
    <x v="2"/>
    <x v="0"/>
    <m/>
    <m/>
    <x v="0"/>
    <x v="2"/>
    <x v="0"/>
  </r>
  <r>
    <s v="EZ60"/>
    <s v="Intel"/>
    <x v="30"/>
    <n v="35"/>
    <n v="2435"/>
    <d v="2024-08-27T00:00:00"/>
    <d v="1899-12-30T02:07:54"/>
    <d v="1899-12-30T03:07:01"/>
    <x v="286"/>
    <n v="1.77"/>
    <s v="FC-003"/>
    <s v="MFSX"/>
    <n v="52911656"/>
    <s v="P724863"/>
    <s v="P724863"/>
    <s v="Y"/>
    <s v="WS"/>
    <s v="LCW Pressure sensor P1&amp;P2 spike issue "/>
    <s v="[intake 2343]_x000a_wk44.3: Delayed dure to SSB5 work. External relase wk50.3_x000a_wk40.3:On track. Internal release wk47.4 12:00, wk48.3 external release"/>
    <x v="2"/>
    <x v="2"/>
    <x v="0"/>
    <s v="New FW on LCW sensor_x000a__x000a_MFSX-wk2441.1: According to the SO and the AIR, the linked AIR here is the correct one. However, the logging of the machine does not show a WP-2C1D_0x8904000E on September 27th. Therefore I cannot veryfy this incident on the machine itself. Only on September 26th at 8:47 there is a WP-2C1D_0x8904000E being logged."/>
    <m/>
    <x v="0"/>
    <x v="2"/>
    <x v="0"/>
  </r>
  <r>
    <s v="EZ60"/>
    <s v="Intel"/>
    <x v="30"/>
    <n v="34"/>
    <n v="2434"/>
    <d v="2024-08-25T00:00:00"/>
    <d v="1899-12-30T23:30:30"/>
    <s v="N/A"/>
    <x v="287"/>
    <n v="6"/>
    <s v="FC-003"/>
    <s v="JHVD "/>
    <n v="52910733"/>
    <s v="P748920"/>
    <s v="P748920"/>
    <s v="Y"/>
    <s v="KW"/>
    <s v="Solution for (0x0003) = Link transmission error (non-timeout)"/>
    <s v="[intake 2403]_x000a_wk21.3:Patch installed on BTR4, BTR5 and ETR2. Still investigation RC._x000a_wk21.2 Increased coverage due to linked child_x000a_wk20.5 We do see new issues, PCS beeing created. _x000a_wk20.2 Install ongoing on BTR5 - linked to P780813_x000a_wk19.1: Containment ava"/>
    <x v="0"/>
    <x v="0"/>
    <x v="0"/>
    <s v="Actions in AIR applied"/>
    <m/>
    <x v="0"/>
    <x v="4"/>
    <x v="0"/>
  </r>
  <r>
    <s v="EZ60"/>
    <s v="Intel"/>
    <x v="30"/>
    <n v="34"/>
    <n v="2434"/>
    <d v="2024-08-25T00:00:00"/>
    <d v="1899-12-30T21:51:32"/>
    <s v="N/A"/>
    <x v="288"/>
    <m/>
    <s v="FC-003"/>
    <s v="JHVD "/>
    <m/>
    <m/>
    <s v=""/>
    <s v="N/A"/>
    <s v="no AIR"/>
    <s v="no AIR"/>
    <s v="no AIR"/>
    <x v="0"/>
    <x v="0"/>
    <x v="0"/>
    <m/>
    <m/>
    <x v="0"/>
    <x v="0"/>
    <x v="0"/>
  </r>
  <r>
    <s v="EZ60"/>
    <s v="Intel"/>
    <x v="117"/>
    <n v="34"/>
    <n v="2434"/>
    <d v="2024-08-25T00:00:00"/>
    <d v="1899-12-30T20:19:22"/>
    <s v="N/A"/>
    <x v="289"/>
    <m/>
    <s v="FC-012"/>
    <s v="ARWY "/>
    <m/>
    <m/>
    <s v=""/>
    <s v="N/A"/>
    <s v="no AIR"/>
    <s v="no AIR"/>
    <s v="no AIR"/>
    <x v="0"/>
    <x v="0"/>
    <x v="0"/>
    <s v="Resolved by Powercycle"/>
    <m/>
    <x v="0"/>
    <x v="0"/>
    <x v="0"/>
  </r>
  <r>
    <s v="EZ60"/>
    <s v="Intel"/>
    <x v="118"/>
    <n v="34"/>
    <n v="2434"/>
    <d v="2024-08-25T00:00:00"/>
    <d v="1899-12-30T14:24:30"/>
    <s v="N/A"/>
    <x v="290"/>
    <m/>
    <s v="FC-010"/>
    <s v="ARWY "/>
    <n v="52910052"/>
    <m/>
    <s v=""/>
    <s v="N/A"/>
    <s v="no AIR"/>
    <s v="no AIR"/>
    <s v="no AIR"/>
    <x v="0"/>
    <x v="0"/>
    <x v="0"/>
    <s v="Solved by PCS"/>
    <m/>
    <x v="0"/>
    <x v="0"/>
    <x v="0"/>
  </r>
  <r>
    <s v="EZ60"/>
    <s v="Intel"/>
    <x v="34"/>
    <n v="34"/>
    <n v="2434"/>
    <d v="2024-08-25T00:00:00"/>
    <d v="1899-12-30T09:34:26"/>
    <d v="1899-12-30T10:36:01"/>
    <x v="291"/>
    <n v="19.45"/>
    <s v="FC-007"/>
    <s v="MKWQ"/>
    <n v="52910052"/>
    <s v="P796308"/>
    <s v="P796308"/>
    <s v="Y"/>
    <s v="CS"/>
    <s v="[BL7.0] Synchronous start of chuck exchange delayed for the E2M chuck during LOT = MMDC error --&gt; CEX Brake"/>
    <s v="[intake 2431]_x000a_wk44.3: UID not executed yet. Eric vd Palen reviewing first slot, also tomorrow back in 12 o'clock. SP38 9k still possible if successfull wk45.5_x000a_wk42.3:  Combo patch planned, testing ongoing (pr23). 9k for SP38 current estimation wk44.5_x000a_wk40"/>
    <x v="2"/>
    <x v="2"/>
    <x v="0"/>
    <s v="WK41.4 - STRG: There are 2 OCC IDs for the same issue (seems like duplicates) - 25946201 &amp; 25891201. Same exact description and timing, but slight difference in down time due to administration. AIR810094  explains issue is due to Level Sensor hiccup, LZ: LZ-201D. There is a parent air P796308 for the solution - ownership should be on BCOF --&gt; linked to parent AIR (was P810094)"/>
    <m/>
    <x v="0"/>
    <x v="2"/>
    <x v="1"/>
  </r>
  <r>
    <s v="EZ60"/>
    <s v="Intel"/>
    <x v="30"/>
    <n v="34"/>
    <n v="2434"/>
    <d v="2024-08-24T00:00:00"/>
    <d v="1899-12-30T11:45:44"/>
    <s v="N/A"/>
    <x v="41"/>
    <n v="0.5"/>
    <s v="FC-003"/>
    <s v="JHVD "/>
    <n v="52909531"/>
    <s v="P770481"/>
    <s v="P770481"/>
    <s v="Y"/>
    <s v="not found"/>
    <s v="not found"/>
    <s v="not found"/>
    <x v="0"/>
    <x v="0"/>
    <x v="0"/>
    <s v="Known issue. Happened during installation. Fix: LD3"/>
    <m/>
    <x v="0"/>
    <x v="2"/>
    <x v="0"/>
  </r>
  <r>
    <s v="EZ60"/>
    <s v="Intel"/>
    <x v="119"/>
    <n v="34"/>
    <n v="2434"/>
    <d v="2024-08-24T00:00:00"/>
    <d v="1899-12-30T00:23:30"/>
    <s v="N/A"/>
    <x v="292"/>
    <m/>
    <s v="FC-009"/>
    <s v="MKWQ"/>
    <m/>
    <s v="P780804"/>
    <s v="P780804"/>
    <s v="Y"/>
    <s v="DC"/>
    <s v="WDFC Avg Reflectivity MX fail on WD-3A00(with fix of P739132 installed) [Fast Track] (SP37)"/>
    <s v="[intake 2437]_x000a_wk38.3: Pending 9k patch delivery _x000a_wk37.3: New issue Wk 37: Delivery to Rel6 -- SP37/SP18 --&gt; 900K for SP36 planned wk39"/>
    <x v="0"/>
    <x v="0"/>
    <x v="0"/>
    <s v="Manual Run"/>
    <m/>
    <x v="0"/>
    <x v="2"/>
    <x v="0"/>
  </r>
  <r>
    <s v="EZ60"/>
    <s v="Intel"/>
    <x v="120"/>
    <n v="34"/>
    <n v="2434"/>
    <d v="2024-08-24T00:00:00"/>
    <d v="1899-12-30T14:15:00"/>
    <d v="1899-12-30T14:15:30"/>
    <x v="293"/>
    <n v="0.48"/>
    <s v="FC-003"/>
    <s v="JHVD "/>
    <n v="52909531"/>
    <s v="P770481"/>
    <s v="P770481"/>
    <s v="Y"/>
    <s v="n/a"/>
    <s v="n/a"/>
    <s v="n/a"/>
    <x v="0"/>
    <x v="2"/>
    <x v="0"/>
    <s v="Collatoral from &quot;WSCB Charging or Internal Error&quot; which happened during the same lot Queue"/>
    <s v="Y"/>
    <x v="0"/>
    <x v="0"/>
    <x v="0"/>
  </r>
  <r>
    <s v="EZ60"/>
    <s v="Intel"/>
    <x v="30"/>
    <n v="34"/>
    <n v="2434"/>
    <d v="2024-08-23T00:00:00"/>
    <d v="1899-12-30T02:44:34"/>
    <d v="1899-12-30T04:01:01"/>
    <x v="294"/>
    <n v="13.75"/>
    <s v="FC-003"/>
    <s v="JHVD "/>
    <n v="52908878"/>
    <s v="P819610"/>
    <s v="P819610"/>
    <s v="Y"/>
    <s v="n/a"/>
    <s v="n/a"/>
    <s v="n/a"/>
    <x v="2"/>
    <x v="2"/>
    <x v="0"/>
    <s v="Multiple PC and Replaced HIPA"/>
    <s v="Y"/>
    <x v="0"/>
    <x v="4"/>
    <x v="1"/>
  </r>
  <r>
    <s v="EZ60"/>
    <s v="Intel"/>
    <x v="0"/>
    <n v="34"/>
    <n v="2434"/>
    <d v="2024-08-21T00:00:00"/>
    <d v="1899-12-30T12:14:00"/>
    <s v="N/A"/>
    <x v="295"/>
    <m/>
    <s v="FC-001"/>
    <s v="SDLG "/>
    <m/>
    <s v="P811379"/>
    <s v="P811379"/>
    <s v="Y"/>
    <s v="not found"/>
    <s v="not found"/>
    <s v="not found"/>
    <x v="0"/>
    <x v="0"/>
    <x v="0"/>
    <m/>
    <m/>
    <x v="0"/>
    <x v="4"/>
    <x v="0"/>
  </r>
  <r>
    <s v="EZ60"/>
    <s v="Intel"/>
    <x v="70"/>
    <n v="34"/>
    <n v="2434"/>
    <d v="2024-08-21T00:00:00"/>
    <d v="1899-12-30T22:44:27"/>
    <d v="1899-12-30T22:52:20"/>
    <x v="296"/>
    <n v="1.67"/>
    <s v="FC-006"/>
    <s v="MKWQ"/>
    <n v="52906169"/>
    <s v="P812229"/>
    <s v="P812229"/>
    <s v="Y"/>
    <s v="IS"/>
    <s v="PDRS functionality, TIS gain implementation in software is not OK, leading to potential false pellicle ruptures for aPSM customer reticles."/>
    <s v="[intake 2435]_x000a_Wk36.3: Containtmet in place for pilot2. No more hits ince. Check with local team. If ok No 9k needed, juts deliver in SP38."/>
    <x v="2"/>
    <x v="2"/>
    <x v="0"/>
    <s v="Containment: Changing KNPDMI - Pellicle Detection from Abort to Warning"/>
    <m/>
    <x v="0"/>
    <x v="2"/>
    <x v="0"/>
  </r>
  <r>
    <s v="EZ60"/>
    <s v="Intel"/>
    <x v="18"/>
    <n v="34"/>
    <n v="2434"/>
    <d v="2024-08-21T00:00:00"/>
    <d v="1899-12-30T05:59:20"/>
    <d v="1899-12-30T07:16:01"/>
    <x v="297"/>
    <n v="14.38"/>
    <s v="FC-001"/>
    <s v="SDLG "/>
    <n v="52906930"/>
    <s v="P787765"/>
    <s v="P787765"/>
    <s v="Y"/>
    <s v="WH"/>
    <s v="Wafer admin not behaving as expected; Wafer on TOP1/TOP2 lost after system restart (WZ-060A)"/>
    <s v="[intake 2428]_x000a_wk33.2: Likely to be available for QBL 35_x000a_wk30.2: Issues tested on BTR4 last week. test results seem okay"/>
    <x v="2"/>
    <x v="2"/>
    <x v="0"/>
    <s v="Wk43.3 SDLG: AVP status still under investigation?"/>
    <m/>
    <x v="0"/>
    <x v="2"/>
    <x v="1"/>
  </r>
  <r>
    <s v="EZ60"/>
    <s v="Intel"/>
    <x v="120"/>
    <n v="34"/>
    <n v="2434"/>
    <d v="2024-08-21T00:00:00"/>
    <d v="1899-12-30T00:06:18"/>
    <d v="1899-12-30T00:02:01"/>
    <x v="298"/>
    <n v="0.97"/>
    <s v="FC-003"/>
    <s v="JHVD "/>
    <n v="52906617"/>
    <s v="P724863"/>
    <s v="P724863"/>
    <s v="Y"/>
    <s v="WS"/>
    <s v="LCW Pressure sensor P1&amp;P2 spike issue "/>
    <s v="[intake 2343]_x000a_wk44.3: Delayed dure to SSB5 work. External relase wk50.3_x000a_wk40.3:On track. Internal release wk47.4 12:00, wk48.3 external release"/>
    <x v="2"/>
    <x v="2"/>
    <x v="0"/>
    <s v="New AIR"/>
    <m/>
    <x v="0"/>
    <x v="2"/>
    <x v="0"/>
  </r>
  <r>
    <s v="EZ60"/>
    <s v="Intel"/>
    <x v="30"/>
    <n v="34"/>
    <n v="2434"/>
    <d v="2024-08-20T00:00:00"/>
    <d v="1899-12-30T23:29:01"/>
    <s v="N/A"/>
    <x v="286"/>
    <n v="0.5"/>
    <s v="FC-003"/>
    <s v="JHVD "/>
    <n v="52906617"/>
    <s v="P724863"/>
    <s v="P724863"/>
    <s v="Y"/>
    <s v="WS"/>
    <s v="LCW Pressure sensor P1&amp;P2 spike issue "/>
    <s v="[intake 2343]_x000a_wk44.3: Delayed dure to SSB5 work. External relase wk50.3_x000a_wk40.3:On track. Internal release wk47.4 12:00, wk48.3 external release"/>
    <x v="0"/>
    <x v="0"/>
    <x v="0"/>
    <s v="New FW on LCW sensor"/>
    <m/>
    <x v="0"/>
    <x v="2"/>
    <x v="0"/>
  </r>
  <r>
    <s v="EZ60"/>
    <s v="Intel"/>
    <x v="70"/>
    <n v="34"/>
    <n v="2434"/>
    <d v="2024-08-20T00:00:00"/>
    <d v="1899-12-30T14:33:46"/>
    <d v="1899-12-30T14:33:46"/>
    <x v="296"/>
    <n v="1.83"/>
    <s v="FC-006"/>
    <s v="MKWQ"/>
    <n v="52906169"/>
    <s v="P812229"/>
    <s v="P812229"/>
    <s v="Y"/>
    <s v="IS"/>
    <s v="PDRS functionality, TIS gain implementation in software is not OK, leading to potential false pellicle ruptures for aPSM customer reticles."/>
    <s v="[intake 2435]_x000a_Wk36.3: Containtmet in place for pilot2. No more hits ince. Check with local team. If ok No 9k needed, juts deliver in SP38."/>
    <x v="2"/>
    <x v="2"/>
    <x v="0"/>
    <m/>
    <m/>
    <x v="0"/>
    <x v="2"/>
    <x v="0"/>
  </r>
  <r>
    <s v="EZ60"/>
    <s v="Intel"/>
    <x v="15"/>
    <n v="34"/>
    <n v="2434"/>
    <d v="2024-08-20T00:00:00"/>
    <d v="1899-12-30T09:37:01"/>
    <d v="1899-12-30T09:28:38"/>
    <x v="109"/>
    <n v="2.83"/>
    <s v="FC-001"/>
    <s v="MFSX"/>
    <n v="52906071"/>
    <s v="P798605"/>
    <s v="P798605"/>
    <s v="Y"/>
    <s v="WH"/>
    <s v="[Pr20]: Wafcar fails with WX-802A (chuck dedication)"/>
    <s v="[intake 2428]_x000a_wk33.2: Issue linked to the one seen at Intel. RC likely known.  Comeback on Friday,_x000a_wk30.2: Could be multiple RCs, needs more investigation"/>
    <x v="2"/>
    <x v="2"/>
    <x v="0"/>
    <m/>
    <m/>
    <x v="0"/>
    <x v="9"/>
    <x v="0"/>
  </r>
  <r>
    <s v="EZ60"/>
    <s v="Intel"/>
    <x v="105"/>
    <n v="34"/>
    <n v="2434"/>
    <d v="2024-08-19T00:00:00"/>
    <d v="1899-12-30T06:15:52"/>
    <s v="N/A"/>
    <x v="299"/>
    <m/>
    <s v="FC-001"/>
    <s v="SDLG "/>
    <m/>
    <m/>
    <m/>
    <s v="N/A"/>
    <s v="no AIR"/>
    <s v="no AIR"/>
    <s v="no AIR"/>
    <x v="0"/>
    <x v="0"/>
    <x v="0"/>
    <m/>
    <m/>
    <x v="0"/>
    <x v="4"/>
    <x v="0"/>
  </r>
  <r>
    <s v="EZ60"/>
    <s v="Intel"/>
    <x v="43"/>
    <n v="34"/>
    <n v="2434"/>
    <d v="2024-08-19T00:00:00"/>
    <d v="1899-12-30T05:55:32"/>
    <d v="1899-12-30T06:08:01"/>
    <x v="93"/>
    <n v="7.32"/>
    <s v="FC-001"/>
    <s v="SDLG "/>
    <n v="52904728"/>
    <s v="P780319"/>
    <s v="P780319"/>
    <s v="Y"/>
    <s v="WH"/>
    <s v="[NoMoLa] NoMoLa recovered system OK (startup drivers = OK) but WH &quot;stuck&quot; with wafer logistics it seems on: CN-0001 - [[S2:WH; T1:WHAVMA; ]] Timeout occurred."/>
    <s v="[intake 2419]_x000a_wk38.3: Same solution as P798126. Solution HOI wk39.4._x000a_Need help with test claim from Reliab team_x000a_wk19.2 New issue intake"/>
    <x v="2"/>
    <x v="2"/>
    <x v="0"/>
    <m/>
    <m/>
    <x v="0"/>
    <x v="3"/>
    <x v="0"/>
  </r>
  <r>
    <s v="EZ60"/>
    <s v="Intel"/>
    <x v="121"/>
    <n v="34"/>
    <n v="2434"/>
    <d v="2024-08-19T00:00:00"/>
    <d v="1899-12-30T04:21:43"/>
    <d v="1899-12-30T04:30:01"/>
    <x v="300"/>
    <n v="0.92"/>
    <s v="FC-005"/>
    <s v="MKWQ"/>
    <n v="52904728"/>
    <s v="P815634"/>
    <s v="P815634"/>
    <s v="Y"/>
    <s v="AL"/>
    <s v="[MTBF] Lot abort | SF-4305 | SF driver "/>
    <s v="[intake 2436]_x000a_wk39.3: Diagnostics traces installed on mEZ60. Monitor for next hit_x000a_wk38.3: RC investigation ongoing. Traces implemented and triggered on Pr23. Driver on SIM, also will happen with REAL. Waiting for data"/>
    <x v="2"/>
    <x v="2"/>
    <x v="0"/>
    <s v="New AIR"/>
    <m/>
    <x v="0"/>
    <x v="4"/>
    <x v="0"/>
  </r>
  <r>
    <s v="EZ60"/>
    <s v="Intel"/>
    <x v="0"/>
    <n v="33"/>
    <n v="2433"/>
    <d v="2024-08-18T00:00:00"/>
    <s v="N/A"/>
    <s v="N/A"/>
    <x v="301"/>
    <m/>
    <m/>
    <s v="no FC filled"/>
    <n v="52904127"/>
    <m/>
    <s v=""/>
    <s v="N/A"/>
    <s v="no AIR"/>
    <s v="no AIR"/>
    <s v="no AIR"/>
    <x v="0"/>
    <x v="0"/>
    <x v="0"/>
    <s v="DHH PS Error. PSU swapped"/>
    <m/>
    <x v="6"/>
    <x v="0"/>
    <x v="0"/>
  </r>
  <r>
    <s v="EZ60"/>
    <s v="Intel"/>
    <x v="122"/>
    <n v="33"/>
    <n v="2433"/>
    <d v="2024-08-18T00:00:00"/>
    <d v="1899-12-30T07:54:17"/>
    <s v="N/A"/>
    <x v="302"/>
    <m/>
    <s v="FC-002"/>
    <s v="ANHG"/>
    <n v="52903765"/>
    <s v="P817133"/>
    <s v="P817133"/>
    <s v="Y"/>
    <s v="RH"/>
    <s v="No DDF possible for System Alarm: DH-F081"/>
    <s v=""/>
    <x v="0"/>
    <x v="0"/>
    <x v="0"/>
    <s v="wk2444.4 ANHG this interlock issue happened during the troubleshooting of P813136 which are also described in the SPS of the linked AIR"/>
    <m/>
    <x v="0"/>
    <x v="0"/>
    <x v="0"/>
  </r>
  <r>
    <s v="EZ60"/>
    <s v="Intel"/>
    <x v="123"/>
    <n v="33"/>
    <n v="2433"/>
    <d v="2024-08-18T00:00:00"/>
    <d v="1899-12-30T04:56:47"/>
    <d v="1899-12-30T05:42:00"/>
    <x v="303"/>
    <n v="22.5"/>
    <s v="FC-002"/>
    <s v="ANHG"/>
    <n v="52900528"/>
    <s v="P817497"/>
    <s v="P817497"/>
    <s v="Y"/>
    <s v="RH"/>
    <s v="NXE:3800 XLD: RH LDLK Issue caused H2-N2"/>
    <s v="wk39: Missing SPS"/>
    <x v="0"/>
    <x v="2"/>
    <x v="0"/>
    <s v="PCU Swapped_x000a__x000a_wk2444.4 ANHG - linked correct leading AIR which is also linked in AVP for this down event"/>
    <m/>
    <x v="0"/>
    <x v="0"/>
    <x v="1"/>
  </r>
  <r>
    <s v="EZ60"/>
    <s v="Intel"/>
    <x v="105"/>
    <n v="33"/>
    <n v="2433"/>
    <d v="2024-08-17T00:00:00"/>
    <d v="1899-12-30T18:13:45"/>
    <s v="N/A"/>
    <x v="109"/>
    <n v="4"/>
    <s v="FC-001"/>
    <s v="SDLG "/>
    <n v="52903405"/>
    <m/>
    <s v=""/>
    <s v="N/A"/>
    <s v="no AIR"/>
    <s v="no AIR"/>
    <s v="no AIR"/>
    <x v="0"/>
    <x v="0"/>
    <x v="0"/>
    <s v="Power Bump SW Hiccup, not asml accountable (only recovery part)"/>
    <m/>
    <x v="0"/>
    <x v="4"/>
    <x v="0"/>
  </r>
  <r>
    <s v="EZ60"/>
    <s v="Intel"/>
    <x v="8"/>
    <n v="33"/>
    <n v="2433"/>
    <d v="2024-08-17T00:00:00"/>
    <d v="1899-12-30T23:49:19"/>
    <d v="1899-12-30T01:23:01"/>
    <x v="304"/>
    <n v="0.47"/>
    <s v="FC-006"/>
    <s v="MKWQ"/>
    <n v="52903483"/>
    <s v="P815607"/>
    <s v="P815607"/>
    <s v="Y"/>
    <s v="IS"/>
    <s v="[MTBF] IS-1363 SW hiccup"/>
    <s v="New issue Wk 37: Problem stage open_x000a__x000a_wk37.3: No data available since tdf is lost after 1 week of hit"/>
    <x v="2"/>
    <x v="2"/>
    <x v="0"/>
    <s v="AIR is aborted since data lost "/>
    <m/>
    <x v="0"/>
    <x v="7"/>
    <x v="0"/>
  </r>
  <r>
    <s v="EZ60"/>
    <s v="Intel"/>
    <x v="0"/>
    <n v="33"/>
    <n v="2433"/>
    <d v="2024-08-16T00:00:00"/>
    <d v="1899-12-30T16:53:01"/>
    <d v="1899-12-30T16:33:00"/>
    <x v="305"/>
    <n v="1.1200000000000001"/>
    <s v="FC-001"/>
    <s v="SDLG "/>
    <m/>
    <m/>
    <s v=""/>
    <s v="N/A"/>
    <s v="n/a"/>
    <s v="n/a"/>
    <s v="n/a"/>
    <x v="0"/>
    <x v="2"/>
    <x v="0"/>
    <s v="Issue with MC settings wrongly set --&gt; B3 issue_x000a_MFSX-wk2442.2: Logging not clear for this issue. I suggest to skip this."/>
    <s v="Y"/>
    <x v="4"/>
    <x v="5"/>
    <x v="0"/>
  </r>
  <r>
    <s v="EZ60"/>
    <s v="Intel"/>
    <x v="124"/>
    <n v="33"/>
    <n v="2433"/>
    <d v="2024-08-16T00:00:00"/>
    <d v="1899-12-30T14:37:13"/>
    <d v="1899-12-30T15:07:00"/>
    <x v="306"/>
    <n v="0.95"/>
    <s v="FC-002"/>
    <s v="ANHG"/>
    <m/>
    <s v="P800748"/>
    <s v="P800748"/>
    <s v="Y"/>
    <s v="RH"/>
    <s v="During reticle move OVR to LDPT, PLB sensor is triggered at place exchange with BM-TIS reticles in Gudeng EIP causing RH OVR place LDPT operation to fail."/>
    <s v="[intake 2432]_x000a_wk38.3: 9k patch NOK due to Manual MC changes required. 1 wk delay.  _x000a__x000a_Solution expected in wk39 for Batch 4"/>
    <x v="0"/>
    <x v="2"/>
    <x v="0"/>
    <m/>
    <m/>
    <x v="0"/>
    <x v="0"/>
    <x v="0"/>
  </r>
  <r>
    <s v="EZ60"/>
    <s v="Intel"/>
    <x v="30"/>
    <n v="33"/>
    <n v="2433"/>
    <d v="2024-08-16T00:00:00"/>
    <d v="1899-12-30T02:31:17"/>
    <d v="1899-12-30T03:13:00"/>
    <x v="286"/>
    <n v="0.03"/>
    <s v="FC-003"/>
    <s v="JHVD "/>
    <s v="52902649​"/>
    <s v="P724863"/>
    <s v="P724863"/>
    <s v="Y"/>
    <s v="WS"/>
    <s v="LCW Pressure sensor P1&amp;P2 spike issue "/>
    <s v="[intake 2343]_x000a_wk44.3: Delayed dure to SSB5 work. External relase wk50.3_x000a_wk40.3:On track. Internal release wk47.4 12:00, wk48.3 external release"/>
    <x v="0"/>
    <x v="2"/>
    <x v="0"/>
    <s v="New FW on LCW sensor"/>
    <m/>
    <x v="0"/>
    <x v="2"/>
    <x v="0"/>
  </r>
  <r>
    <s v="EZ60"/>
    <s v="Intel"/>
    <x v="0"/>
    <n v="33"/>
    <n v="2433"/>
    <d v="2024-08-15T00:00:00"/>
    <d v="1899-12-30T19:24:03"/>
    <d v="1899-12-30T18:20:00"/>
    <x v="307"/>
    <n v="5.32"/>
    <s v="FC-001"/>
    <s v="SDLG "/>
    <m/>
    <m/>
    <s v=""/>
    <s v="N/A"/>
    <s v="n/a"/>
    <s v="n/a"/>
    <s v="n/a"/>
    <x v="0"/>
    <x v="2"/>
    <x v="0"/>
    <s v="B3 issue_x000a_MFSX-wk2442.2: Logging not clear for this issue. I suggest to skip this."/>
    <s v="Y"/>
    <x v="4"/>
    <x v="5"/>
    <x v="0"/>
  </r>
  <r>
    <s v="EZ60"/>
    <s v="Intel"/>
    <x v="125"/>
    <n v="33"/>
    <n v="2433"/>
    <d v="2024-08-14T00:00:00"/>
    <d v="1899-12-30T04:41:52"/>
    <d v="1899-12-30T05:15:01"/>
    <x v="109"/>
    <n v="3.15"/>
    <s v="FC-001"/>
    <s v="SDLG "/>
    <m/>
    <s v="P684387"/>
    <s v="P684387"/>
    <s v="Y"/>
    <s v="WH"/>
    <s v="WH MPAC MMDC error triggers just after any WH MMDC error causing difficulty in diagnosing the actual root cause."/>
    <s v="[intake 2347]_x000a_wk18.1 Issues found with solution - delay_x000a_wk10.2 - FW expected wk14, then integration and testing still needed - QBL plan expected wk17. Requested pull-in to meet plt2 SAT date_x000a_wk09.3 - expected to take 40hrs of effort - plan expected 9.4_x000a_wk"/>
    <x v="2"/>
    <x v="2"/>
    <x v="0"/>
    <s v="To be picked up in Batch 5. Pull in to Batch 4"/>
    <m/>
    <x v="0"/>
    <x v="2"/>
    <x v="0"/>
  </r>
  <r>
    <s v="EZ60"/>
    <s v="Intel"/>
    <x v="126"/>
    <n v="33"/>
    <n v="2433"/>
    <d v="2024-08-13T00:00:00"/>
    <d v="1899-12-30T14:48:58"/>
    <s v="N/A"/>
    <x v="308"/>
    <m/>
    <s v="FC-001"/>
    <s v="SDLG "/>
    <n v="52900274"/>
    <s v="P787765"/>
    <s v="P787765"/>
    <s v="Y"/>
    <s v="WH"/>
    <s v="Wafer admin not behaving as expected; Wafer on TOP1/TOP2 lost after system restart (WZ-060A)"/>
    <s v="[intake 2428]_x000a_wk33.2: Likely to be available for QBL 35_x000a_wk30.2: Issues tested on BTR4 last week. test results seem okay"/>
    <x v="0"/>
    <x v="0"/>
    <x v="0"/>
    <m/>
    <m/>
    <x v="0"/>
    <x v="4"/>
    <x v="0"/>
  </r>
  <r>
    <s v="EZ60"/>
    <s v="Intel"/>
    <x v="123"/>
    <n v="33"/>
    <n v="2433"/>
    <d v="2024-08-13T00:00:00"/>
    <d v="1899-12-30T10:42:47"/>
    <s v="N/A"/>
    <x v="309"/>
    <m/>
    <s v="FC-002"/>
    <s v="ANHG"/>
    <n v="52900528"/>
    <s v="P817133"/>
    <s v="P817133"/>
    <s v="Y"/>
    <s v="RH"/>
    <s v="No DDF possible for System Alarm: DH-F081"/>
    <s v=""/>
    <x v="0"/>
    <x v="0"/>
    <x v="0"/>
    <s v="wk2444.4 ANHG this AIR is linked to the events of P813136"/>
    <m/>
    <x v="0"/>
    <x v="4"/>
    <x v="0"/>
  </r>
  <r>
    <s v="EZ60"/>
    <s v="Intel"/>
    <x v="127"/>
    <n v="33"/>
    <n v="2433"/>
    <d v="2024-08-13T00:00:00"/>
    <d v="1899-12-30T07:41:18"/>
    <d v="1899-12-30T09:07:00"/>
    <x v="310"/>
    <n v="15.32"/>
    <s v="FC-002"/>
    <s v="ANHG"/>
    <n v="52900169"/>
    <s v="P800748"/>
    <s v="P800748"/>
    <s v="Y"/>
    <s v="RH"/>
    <s v="During reticle move OVR to LDPT, PLB sensor is triggered at place exchange with BM-TIS reticles in Gudeng EIP causing RH OVR place LDPT operation to fail."/>
    <s v="[intake 2432]_x000a_wk38.3: 9k patch NOK due to Manual MC changes required. 1 wk delay.  _x000a__x000a_Solution expected in wk39 for Batch 4"/>
    <x v="0"/>
    <x v="2"/>
    <x v="0"/>
    <s v="Solution: SP38. Batch 4"/>
    <m/>
    <x v="0"/>
    <x v="2"/>
    <x v="1"/>
  </r>
  <r>
    <s v="EZ60"/>
    <s v="Intel"/>
    <x v="20"/>
    <n v="33"/>
    <n v="2433"/>
    <d v="2024-08-13T00:00:00"/>
    <d v="1899-12-30T00:14:03"/>
    <d v="1899-12-30T01:17:00"/>
    <x v="311"/>
    <n v="1.23"/>
    <s v="FC-071"/>
    <s v="JMTP "/>
    <n v="52886012"/>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s v="Recurred. To be investigated "/>
    <m/>
    <x v="0"/>
    <x v="2"/>
    <x v="0"/>
  </r>
  <r>
    <s v="EZ60"/>
    <s v="Intel"/>
    <x v="15"/>
    <n v="33"/>
    <n v="2433"/>
    <d v="2024-08-12T00:00:00"/>
    <d v="1899-12-30T10:13:09"/>
    <d v="1899-12-30T10:14:00"/>
    <x v="312"/>
    <n v="0.77"/>
    <s v="FC-001"/>
    <s v="MFSX"/>
    <n v="52898334"/>
    <s v="P798605"/>
    <s v="P798605"/>
    <s v="Y"/>
    <s v="WH"/>
    <s v="[Pr20]: Wafcar fails with WX-802A (chuck dedication)"/>
    <s v="[intake 2428]_x000a_wk33.2: Issue linked to the one seen at Intel. RC likely known.  Comeback on Friday,_x000a_wk30.2: Could be multiple RCs, needs more investigation"/>
    <x v="2"/>
    <x v="2"/>
    <x v="0"/>
    <s v="Solution: SP38 - to be delivered WK2444 | To be confirmed"/>
    <m/>
    <x v="0"/>
    <x v="4"/>
    <x v="0"/>
  </r>
  <r>
    <s v="EZ60"/>
    <s v="Intel"/>
    <x v="128"/>
    <n v="32"/>
    <n v="2432"/>
    <d v="2024-08-11T00:00:00"/>
    <d v="1899-12-30T13:27:08"/>
    <d v="1899-12-30T16:23:00"/>
    <x v="313"/>
    <n v="1.78"/>
    <s v="FC-002"/>
    <s v="ANHG"/>
    <n v="52898334"/>
    <m/>
    <s v=""/>
    <s v="N/A"/>
    <s v="n/a"/>
    <s v="n/a"/>
    <s v="n/a"/>
    <x v="0"/>
    <x v="2"/>
    <x v="0"/>
    <s v="Cover adjusted"/>
    <s v="Y"/>
    <x v="5"/>
    <x v="5"/>
    <x v="0"/>
  </r>
  <r>
    <s v="EZ60"/>
    <s v="Intel"/>
    <x v="15"/>
    <n v="32"/>
    <n v="2432"/>
    <d v="2024-08-11T00:00:00"/>
    <d v="1899-12-30T09:28:56"/>
    <d v="1899-12-30T10:09:01"/>
    <x v="312"/>
    <n v="1.05"/>
    <s v="FC-001"/>
    <s v="SDLG "/>
    <n v="52898569"/>
    <s v="P798605"/>
    <s v="P798605"/>
    <s v="Y"/>
    <s v="WH"/>
    <s v="[Pr20]: Wafcar fails with WX-802A (chuck dedication)"/>
    <s v="[intake 2428]_x000a_wk33.2: Issue linked to the one seen at Intel. RC likely known.  Comeback on Friday,_x000a_wk30.2: Could be multiple RCs, needs more investigation"/>
    <x v="2"/>
    <x v="2"/>
    <x v="0"/>
    <s v="Solution: SP38 - to be delivered WK2444 | To be confirmed"/>
    <m/>
    <x v="0"/>
    <x v="2"/>
    <x v="0"/>
  </r>
  <r>
    <s v="EZ60"/>
    <s v="Intel"/>
    <x v="82"/>
    <n v="32"/>
    <n v="2432"/>
    <d v="2024-08-10T00:00:00"/>
    <d v="1899-12-30T22:59:08"/>
    <s v="00:34:01 (11.08.2024)"/>
    <x v="314"/>
    <n v="1.1200000000000001"/>
    <s v="FC-063"/>
    <s v="MKWQ"/>
    <n v="52897995"/>
    <s v="P815426"/>
    <s v="P815426"/>
    <s v="Y"/>
    <s v="ME"/>
    <s v="KI-6206 ABCOM failure due to RA recovery"/>
    <s v="[intake 2437]_x000a_wk38.3: 4k to be delivered 38.5 and 9k external delivery 39.3_x000a_Wk 37: Testing ongoing. Solution phase closed_x000a_3x htis at Intel, reproduceable on DevBench"/>
    <x v="2"/>
    <x v="2"/>
    <x v="0"/>
    <s v="Solution is SP39. To be fixed in Batch 4"/>
    <m/>
    <x v="0"/>
    <x v="2"/>
    <x v="0"/>
  </r>
  <r>
    <s v="EZ60"/>
    <s v="Intel"/>
    <x v="119"/>
    <n v="32"/>
    <n v="2432"/>
    <d v="2024-08-10T00:00:00"/>
    <d v="1899-12-30T03:03:00"/>
    <d v="1899-12-30T03:36:00"/>
    <x v="292"/>
    <n v="1.58"/>
    <s v="FC-009"/>
    <s v="MKWQ"/>
    <n v="52897655"/>
    <s v="P780804"/>
    <s v="P780804"/>
    <s v="Y"/>
    <s v="DC"/>
    <s v="WDFC Avg Reflectivity MX fail on WD-3A00(with fix of P739132 installed) [Fast Track] (SP37)"/>
    <s v="[intake 2437]_x000a_wk38.3: Pending 9k patch delivery _x000a_wk37.3: New issue Wk 37: Delivery to Rel6 -- SP37/SP18 --&gt; 900K for SP36 planned wk39"/>
    <x v="0"/>
    <x v="2"/>
    <x v="0"/>
    <s v="WDFC Manual Calibration OK, AIR needs to verified"/>
    <m/>
    <x v="0"/>
    <x v="2"/>
    <x v="0"/>
  </r>
  <r>
    <s v="EZ60"/>
    <s v="Intel"/>
    <x v="35"/>
    <n v="32"/>
    <n v="2432"/>
    <d v="2024-08-09T00:00:00"/>
    <d v="1899-12-30T14:43:31"/>
    <d v="1899-12-30T15:40:00"/>
    <x v="315"/>
    <n v="11.07"/>
    <s v="FC-001"/>
    <s v="SDLG "/>
    <n v="52896788"/>
    <s v="P808249"/>
    <s v="P808249"/>
    <s v="Y"/>
    <s v="WH"/>
    <s v="EZ60 - CH unlock/lock and wh driver init fails on PG-6206: Servo Error: fatal position error. Position error=-0.00390747; error window=0.00390625"/>
    <s v="[intake 2437]_x000a_wk38.3: Issue not to be seen at Intel anymore. Investigation ongoing if there is also a structural issue_x000a_wk37 New hit seen last weekend on Intel. Awaiting intake from D&amp;E"/>
    <x v="0"/>
    <x v="2"/>
    <x v="0"/>
    <s v="Wk43.3 SDLG: Filled in AVP, P823638 &gt; parent AIR P808249_x000a__x000a_CH Interface Box Swap_x000a_"/>
    <m/>
    <x v="6"/>
    <x v="4"/>
    <x v="1"/>
  </r>
  <r>
    <s v="EZ60"/>
    <s v="Intel"/>
    <x v="35"/>
    <n v="32"/>
    <n v="2432"/>
    <d v="2024-08-08T00:00:00"/>
    <d v="1899-12-30T14:13:57"/>
    <s v="N/A"/>
    <x v="315"/>
    <m/>
    <s v="FC-001"/>
    <s v="SDLG "/>
    <n v="52896788"/>
    <s v="P808249"/>
    <s v="P808249"/>
    <s v="Y"/>
    <s v="WH"/>
    <s v="EZ60 - CH unlock/lock and wh driver init fails on PG-6206: Servo Error: fatal position error. Position error=-0.00390747; error window=0.00390625"/>
    <s v="[intake 2437]_x000a_wk38.3: Issue not to be seen at Intel anymore. Investigation ongoing if there is also a structural issue_x000a_wk37 New hit seen last weekend on Intel. Awaiting intake from D&amp;E"/>
    <x v="0"/>
    <x v="0"/>
    <x v="0"/>
    <s v="Manual Recovered FOUP, CH Endurance check OK. Next hit replace CH interface box"/>
    <m/>
    <x v="6"/>
    <x v="4"/>
    <x v="0"/>
  </r>
  <r>
    <s v="EZ60"/>
    <s v="Intel"/>
    <x v="82"/>
    <n v="32"/>
    <n v="2432"/>
    <d v="2024-08-08T00:00:00"/>
    <d v="1899-12-30T12:52:16"/>
    <d v="1899-12-30T13:41:01"/>
    <x v="314"/>
    <n v="8.8699999999999992"/>
    <s v="FC-063"/>
    <s v="MKWQ"/>
    <n v="52862417"/>
    <s v="P815426"/>
    <s v="P815426"/>
    <s v="Y"/>
    <s v="ME"/>
    <s v="KI-6206 ABCOM failure due to RA recovery"/>
    <s v="[intake 2437]_x000a_wk38.3: 4k to be delivered 38.5 and 9k external delivery 39.3_x000a_Wk 37: Testing ongoing. Solution phase closed_x000a_3x htis at Intel, reproduceable on DevBench"/>
    <x v="2"/>
    <x v="2"/>
    <x v="0"/>
    <s v="Solution is SP39. To be fixed in Batch 4"/>
    <m/>
    <x v="0"/>
    <x v="2"/>
    <x v="0"/>
  </r>
  <r>
    <s v="EZ60"/>
    <s v="Intel"/>
    <x v="22"/>
    <n v="32"/>
    <n v="2432"/>
    <d v="2024-08-08T00:00:00"/>
    <d v="1899-12-30T08:08:44"/>
    <d v="1899-12-30T08:08:01"/>
    <x v="316"/>
    <n v="2.4700000000000002"/>
    <s v="FC-001"/>
    <s v="MFSX"/>
    <n v="52896581"/>
    <s v="P684387"/>
    <s v="P684387"/>
    <s v="Y"/>
    <s v="WH"/>
    <s v="WH MPAC MMDC error triggers just after any WH MMDC error causing difficulty in diagnosing the actual root cause."/>
    <s v="[intake 2347]_x000a_wk18.1 Issues found with solution - delay_x000a_wk10.2 - FW expected wk14, then integration and testing still needed - QBL plan expected wk17. Requested pull-in to meet plt2 SAT date_x000a_wk09.3 - expected to take 40hrs of effort - plan expected 9.4_x000a_wk"/>
    <x v="2"/>
    <x v="2"/>
    <x v="0"/>
    <s v="To be picked up in Batch 5. Pull in to Batch 4_x000a__x000a_MFSX-wk2441.2: From AIR I can see that SO 52896581 is also linked to P798605. This seems to be WRONG! There is no WX-802A happening at Aug. 8th, 8:08. However, still need to confirm AIR P747035 to be the right one for this incident._x000a_MFSX-wk2441.3: Confirmed WE-0404 and WE-0406 at 08:08. Both together describe the root error (see P753385)._x000a_MFSX-wk2441.5: Changed AIR to leading AIR P684387. This AIR coveres the MPAC MMDC issue that we see at this timestamp."/>
    <m/>
    <x v="0"/>
    <x v="2"/>
    <x v="0"/>
  </r>
  <r>
    <s v="EZ60"/>
    <s v="Intel"/>
    <x v="129"/>
    <n v="32"/>
    <n v="2432"/>
    <d v="2024-08-06T00:00:00"/>
    <d v="1899-12-30T03:24:51"/>
    <s v="N/A"/>
    <x v="317"/>
    <n v="19"/>
    <s v="FC-003"/>
    <s v="JHVD "/>
    <n v="52894487"/>
    <s v="P760454"/>
    <s v="P760454"/>
    <s v="Y"/>
    <s v="KW"/>
    <s v="[BTR4][HW28] Error CV-22D2 on Driver Startup  After MPAC / PAAC communication issues."/>
    <s v="[intake 2418][coverage 0.2%]_x000a_wk26.4: RC breakthrough available, containment being worked on via increased timeout. Structural solution via new TSEL. _x000a_wk21.5 CARM supported on deep dive. KW still owner. Update expected wk22.2 (and hopefully the planning)_x000a_w"/>
    <x v="0"/>
    <x v="0"/>
    <x v="0"/>
    <s v="Resolved by replacing PSDC in WSPC3 Cabinet.  CG-4680/WP-2C1D resolved. Custom DDF to be created for CV  and CG Errors"/>
    <m/>
    <x v="6"/>
    <x v="4"/>
    <x v="1"/>
  </r>
  <r>
    <s v="EZ60"/>
    <s v="Intel"/>
    <x v="0"/>
    <n v="31"/>
    <n v="2431"/>
    <d v="2024-08-04T00:00:00"/>
    <d v="1899-12-30T21:50:11"/>
    <m/>
    <x v="318"/>
    <n v="122.37"/>
    <s v="FC-003"/>
    <s v="JHVD "/>
    <n v="52892358"/>
    <s v="P817827"/>
    <s v="P817827"/>
    <s v="Y"/>
    <s v=""/>
    <s v="NXE:3800 XLD: PWP OOS for Sio Particles"/>
    <s v="wk39: Ongoing"/>
    <x v="0"/>
    <x v="2"/>
    <x v="0"/>
    <s v="Full WP inspection/clean in progress. WPC Completed"/>
    <m/>
    <x v="0"/>
    <x v="4"/>
    <x v="1"/>
  </r>
  <r>
    <s v="EZ60"/>
    <s v="Intel"/>
    <x v="50"/>
    <n v="31"/>
    <n v="2431"/>
    <d v="2024-08-02T00:00:00"/>
    <d v="1899-12-30T04:08:03"/>
    <s v="N/A"/>
    <x v="319"/>
    <m/>
    <s v="FC-078"/>
    <s v="KNGN"/>
    <n v="52890114"/>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0"/>
    <x v="0"/>
    <s v="Will be replaced by structural to fix WDSH"/>
    <m/>
    <x v="0"/>
    <x v="2"/>
    <x v="0"/>
  </r>
  <r>
    <s v="EZ60"/>
    <s v="Intel"/>
    <x v="54"/>
    <n v="31"/>
    <n v="2431"/>
    <d v="2024-08-01T00:00:00"/>
    <d v="1899-12-30T23:05:53"/>
    <s v="N/A"/>
    <x v="319"/>
    <m/>
    <s v="FC-078"/>
    <s v="KNGN"/>
    <n v="52890114"/>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0"/>
    <x v="0"/>
    <s v="Will be replaced by structural to fix WDSH"/>
    <m/>
    <x v="0"/>
    <x v="2"/>
    <x v="0"/>
  </r>
  <r>
    <s v="EZ60"/>
    <s v="Intel"/>
    <x v="54"/>
    <n v="31"/>
    <n v="2431"/>
    <d v="2024-08-01T00:00:00"/>
    <d v="1899-12-30T04:02:46"/>
    <s v="N/A"/>
    <x v="319"/>
    <m/>
    <s v="FC-078"/>
    <s v="KNGN"/>
    <n v="52890114"/>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0"/>
    <x v="0"/>
    <s v="Will be replaced by structural to fix WDSH"/>
    <m/>
    <x v="0"/>
    <x v="2"/>
    <x v="0"/>
  </r>
  <r>
    <s v="EZ60"/>
    <s v="Intel"/>
    <x v="54"/>
    <n v="31"/>
    <n v="2431"/>
    <d v="2024-08-01T00:00:00"/>
    <d v="1899-12-30T03:54:02"/>
    <s v="N/A"/>
    <x v="319"/>
    <m/>
    <s v="FC-078"/>
    <s v="KNGN"/>
    <n v="52890114"/>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0"/>
    <x v="0"/>
    <s v="Will be replaced by structural to fix WDSH"/>
    <m/>
    <x v="0"/>
    <x v="2"/>
    <x v="0"/>
  </r>
  <r>
    <s v="EZ60"/>
    <s v="Intel"/>
    <x v="54"/>
    <n v="31"/>
    <n v="2431"/>
    <d v="2024-08-01T00:00:00"/>
    <d v="1899-12-30T02:28:15"/>
    <s v="N/A"/>
    <x v="319"/>
    <m/>
    <s v="FC-078"/>
    <s v="KNGN"/>
    <n v="52890114"/>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0"/>
    <x v="0"/>
    <s v="Will be replaced by structural to fix WDSH"/>
    <m/>
    <x v="0"/>
    <x v="2"/>
    <x v="0"/>
  </r>
  <r>
    <s v="EZ60"/>
    <s v="Intel"/>
    <x v="50"/>
    <n v="31"/>
    <n v="2431"/>
    <d v="2024-08-01T00:00:00"/>
    <d v="1899-12-30T21:14:33"/>
    <d v="1899-12-30T21:29:01"/>
    <x v="320"/>
    <n v="30.48"/>
    <s v="FC-001"/>
    <s v="SDLG "/>
    <n v="52891345"/>
    <s v="P808198"/>
    <s v="P808198"/>
    <s v="Y"/>
    <s v="EL"/>
    <s v="Missing DDF for DH-F041 error - Coverpanel interlock NOK"/>
    <s v="MEQ"/>
    <x v="0"/>
    <x v="2"/>
    <x v="0"/>
    <s v="Wk43.3 SDLG: Filled in AVP. P810385 -RC solution, P808198 MTTR improvement._x000a__x000a_Wk40.3 SDLG: Multiple root causes known, P808198 only addresses MTTR solution(DDF creation)._x000a__x000a_Track seal is not fully extracted. "/>
    <m/>
    <x v="4"/>
    <x v="4"/>
    <x v="1"/>
  </r>
  <r>
    <s v="EZ60"/>
    <s v="Intel"/>
    <x v="130"/>
    <n v="31"/>
    <n v="2431"/>
    <d v="2024-08-01T00:00:00"/>
    <d v="1899-12-30T20:34:50"/>
    <d v="1899-12-30T18:00:00"/>
    <x v="321"/>
    <n v="3.48"/>
    <s v="FC-024"/>
    <s v="STRG"/>
    <n v="52891211"/>
    <s v="P790869"/>
    <s v="P790869"/>
    <s v="Y"/>
    <s v="CS"/>
    <s v="[XBOX][3800] RUBI initialization fails on connectivity CG-A349"/>
    <s v="wk30.1 Testtime on DevBench blocking_x000a_wk26.4: After WH hits, wrong PCS is triggered. Process of using FindIt in factory is not the correct WoW_x000a_wk25.3: Collecting traces, no hits in recent past. Monitor for hits"/>
    <x v="0"/>
    <x v="2"/>
    <x v="0"/>
    <s v="New AIR needed to link to IBS. Initial AIR P751456 linked was incorrect, corrected to P749810_x000a_WK41.5 STRG: Update to Parent air that contains CAD &amp; solution delivery with SP37 delivery"/>
    <m/>
    <x v="0"/>
    <x v="4"/>
    <x v="0"/>
  </r>
  <r>
    <s v="EZ60"/>
    <s v="Intel"/>
    <x v="0"/>
    <n v="31"/>
    <n v="2431"/>
    <d v="2024-08-01T00:00:00"/>
    <s v="N/A"/>
    <m/>
    <x v="322"/>
    <m/>
    <s v="FC-048"/>
    <s v="JHVD "/>
    <m/>
    <s v="P805978"/>
    <s v="P805978"/>
    <s v="Y"/>
    <s v="WC"/>
    <s v="WT Mx Charge Removal NOK"/>
    <s v=""/>
    <x v="0"/>
    <x v="0"/>
    <x v="0"/>
    <s v="Not a down. Solution: 900k patch on SP36c (wk2435.5). QBL via P792071"/>
    <m/>
    <x v="0"/>
    <x v="2"/>
    <x v="0"/>
  </r>
  <r>
    <s v="EZ60"/>
    <s v="Intel"/>
    <x v="54"/>
    <n v="31"/>
    <n v="2431"/>
    <d v="2024-07-31T00:00:00"/>
    <d v="1899-12-30T15:42:11"/>
    <s v="N/A"/>
    <x v="319"/>
    <m/>
    <s v="FC-078"/>
    <s v="KNGN"/>
    <n v="52890114"/>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0"/>
    <x v="0"/>
    <s v="Will be replaced by structural to fix WDSH"/>
    <m/>
    <x v="0"/>
    <x v="2"/>
    <x v="0"/>
  </r>
  <r>
    <s v="EZ60"/>
    <s v="Intel"/>
    <x v="0"/>
    <n v="31"/>
    <n v="2431"/>
    <d v="2024-07-31T00:00:00"/>
    <d v="1899-12-30T11:31:52"/>
    <s v="N/A"/>
    <x v="323"/>
    <m/>
    <m/>
    <s v="no FC filled"/>
    <n v="52889894"/>
    <m/>
    <s v=""/>
    <s v="N/A"/>
    <s v="no AIR"/>
    <s v="no AIR"/>
    <s v="no AIR"/>
    <x v="0"/>
    <x v="0"/>
    <x v="0"/>
    <s v="Not logged as a down"/>
    <m/>
    <x v="0"/>
    <x v="0"/>
    <x v="0"/>
  </r>
  <r>
    <s v="EZ60"/>
    <s v="Intel"/>
    <x v="110"/>
    <n v="31"/>
    <n v="2431"/>
    <d v="2024-07-31T00:00:00"/>
    <d v="1899-12-30T23:47:21"/>
    <d v="1899-12-30T23:58:00"/>
    <x v="324"/>
    <n v="0.17"/>
    <s v="FC-027"/>
    <s v="STRG"/>
    <n v="52890361"/>
    <m/>
    <s v=""/>
    <s v="Incorrect"/>
    <s v="n/a"/>
    <s v="n/a"/>
    <s v="n/a"/>
    <x v="0"/>
    <x v="2"/>
    <x v="0"/>
    <s v="Solution: SP38. 900k patches for all SP in WK2434"/>
    <s v="Y"/>
    <x v="0"/>
    <x v="2"/>
    <x v="0"/>
  </r>
  <r>
    <s v="EZ60"/>
    <s v="Intel"/>
    <x v="127"/>
    <n v="31"/>
    <n v="2431"/>
    <d v="2024-07-31T00:00:00"/>
    <d v="1899-12-30T17:44:54"/>
    <d v="1899-12-30T18:21:00"/>
    <x v="325"/>
    <n v="2.3199999999999998"/>
    <s v="FC-002"/>
    <s v="ANHG"/>
    <n v="52890036"/>
    <s v="P800748"/>
    <s v="P800748"/>
    <s v="Y"/>
    <s v="RH"/>
    <s v="During reticle move OVR to LDPT, PLB sensor is triggered at place exchange with BM-TIS reticles in Gudeng EIP causing RH OVR place LDPT operation to fail."/>
    <s v="[intake 2432]_x000a_wk38.3: 9k patch NOK due to Manual MC changes required. 1 wk delay.  _x000a__x000a_Solution expected in wk39 for Batch 4"/>
    <x v="0"/>
    <x v="2"/>
    <x v="0"/>
    <s v="Solution: SP38. 900k patches for all SP in WK2434"/>
    <m/>
    <x v="0"/>
    <x v="2"/>
    <x v="0"/>
  </r>
  <r>
    <s v="EZ60"/>
    <s v="Intel"/>
    <x v="131"/>
    <n v="31"/>
    <n v="2431"/>
    <d v="2024-07-30T00:00:00"/>
    <d v="1899-12-30T20:27:21"/>
    <d v="1899-12-30T21:17:00"/>
    <x v="326"/>
    <n v="0.57999999999999996"/>
    <s v="FC-001"/>
    <s v="SDLG "/>
    <n v="52889094"/>
    <s v="P800689"/>
    <s v="P800689"/>
    <s v="Y"/>
    <s v="WH"/>
    <s v="[CR51/EZ60] WH error during LOT start, as wafer is moved in from the track - WX-801F"/>
    <s v="[intake 2429]_x000a_wk30.5: Issue contained with SP36C. Still need data from Pi2"/>
    <x v="0"/>
    <x v="2"/>
    <x v="0"/>
    <s v="Solution: SP38c. WK44 to be released"/>
    <m/>
    <x v="0"/>
    <x v="2"/>
    <x v="0"/>
  </r>
  <r>
    <s v="EZ60"/>
    <s v="Intel"/>
    <x v="132"/>
    <n v="31"/>
    <n v="2431"/>
    <d v="2024-07-30T00:00:00"/>
    <d v="1899-12-30T14:45:22"/>
    <d v="1899-12-30T14:52:00"/>
    <x v="327"/>
    <n v="1.1499999999999999"/>
    <s v="FC-031"/>
    <s v="MKWQ"/>
    <n v="52888739"/>
    <s v="P815661"/>
    <s v="P815661"/>
    <s v="Y"/>
    <s v="n/a"/>
    <s v="n/a"/>
    <s v="n/a"/>
    <x v="0"/>
    <x v="2"/>
    <x v="0"/>
    <m/>
    <s v="Y"/>
    <x v="5"/>
    <x v="5"/>
    <x v="0"/>
  </r>
  <r>
    <s v="EZ60"/>
    <s v="Intel"/>
    <x v="20"/>
    <n v="31"/>
    <n v="2431"/>
    <d v="2024-07-30T00:00:00"/>
    <d v="1899-12-30T00:11:58"/>
    <d v="1899-12-30T01:20:00"/>
    <x v="311"/>
    <n v="1.57"/>
    <s v="FC-071"/>
    <s v="JMTP "/>
    <n v="52886012"/>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s v="Found loose nut on end stop. To be monitorred"/>
    <m/>
    <x v="0"/>
    <x v="2"/>
    <x v="0"/>
  </r>
  <r>
    <s v="EZ60"/>
    <s v="Intel"/>
    <x v="30"/>
    <n v="31"/>
    <n v="2431"/>
    <d v="2024-07-29T00:00:00"/>
    <d v="1899-12-30T00:24:37"/>
    <d v="1899-12-30T01:02:50"/>
    <x v="328"/>
    <n v="0.9"/>
    <s v="FC-003"/>
    <s v="JHVD "/>
    <n v="52886884"/>
    <s v="P724863"/>
    <s v="P724863"/>
    <s v="Y"/>
    <s v="WS"/>
    <s v="LCW Pressure sensor P1&amp;P2 spike issue "/>
    <s v="[intake 2343]_x000a_wk44.3: Delayed dure to SSB5 work. External relase wk50.3_x000a_wk40.3:On track. Internal release wk47.4 12:00, wk48.3 external release"/>
    <x v="0"/>
    <x v="2"/>
    <x v="0"/>
    <s v="JHVD: Corrected AIR from P804700 to P724863"/>
    <m/>
    <x v="0"/>
    <x v="2"/>
    <x v="0"/>
  </r>
  <r>
    <s v="EZ60"/>
    <s v="Intel"/>
    <x v="30"/>
    <n v="30"/>
    <n v="2430"/>
    <d v="2024-07-28T00:00:00"/>
    <d v="1899-12-30T00:27:08"/>
    <s v="N/A"/>
    <x v="328"/>
    <m/>
    <s v="FC-003"/>
    <s v="JHVD "/>
    <n v="52886689"/>
    <s v="P804700"/>
    <s v="P804700"/>
    <s v="Y"/>
    <s v="VS"/>
    <s v="[SP38] MX HRG NOK - machine encountering PG-951D errors on Ctrl Z and Rx then WP-2C1D MMDC SW event. ​"/>
    <s v="[intake 2431]_x000a_wk37.3: Patch + FCO on SP36 available EOD_x000a_wk37.1 Delivery won't make batch 3b. Internal delivery wk37.4"/>
    <x v="0"/>
    <x v="0"/>
    <x v="0"/>
    <s v="Solution: SP37 900k patch (WK2437)"/>
    <m/>
    <x v="0"/>
    <x v="2"/>
    <x v="0"/>
  </r>
  <r>
    <s v="EZ60"/>
    <s v="Intel"/>
    <x v="20"/>
    <n v="30"/>
    <n v="2430"/>
    <d v="2024-07-28T00:00:00"/>
    <d v="1899-12-30T01:27:31"/>
    <d v="1899-12-30T02:25:00"/>
    <x v="311"/>
    <n v="0.22"/>
    <s v="FC-071"/>
    <s v="JMTP "/>
    <n v="52886012"/>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s v="Found loose nut on end stop. To be monitorred"/>
    <m/>
    <x v="0"/>
    <x v="2"/>
    <x v="0"/>
  </r>
  <r>
    <s v="EZ60"/>
    <s v="Intel"/>
    <x v="30"/>
    <n v="30"/>
    <n v="2430"/>
    <d v="2024-07-27T00:00:00"/>
    <d v="1899-12-30T10:17:02"/>
    <s v="N/A"/>
    <x v="328"/>
    <m/>
    <s v="FC-003"/>
    <s v="JHVD "/>
    <n v="52886689"/>
    <s v="P804700"/>
    <s v="P804700"/>
    <s v="Y"/>
    <s v="VS"/>
    <s v="[SP38] MX HRG NOK - machine encountering PG-951D errors on Ctrl Z and Rx then WP-2C1D MMDC SW event. ​"/>
    <s v="[intake 2431]_x000a_wk37.3: Patch + FCO on SP36 available EOD_x000a_wk37.1 Delivery won't make batch 3b. Internal delivery wk37.4"/>
    <x v="0"/>
    <x v="0"/>
    <x v="0"/>
    <s v="Before customer took over the system. Not counted as a hit. Solution: SP37 900k patch (WK2437)"/>
    <m/>
    <x v="0"/>
    <x v="2"/>
    <x v="0"/>
  </r>
  <r>
    <m/>
    <m/>
    <x v="2"/>
    <m/>
    <m/>
    <m/>
    <m/>
    <m/>
    <x v="329"/>
    <m/>
    <m/>
    <m/>
    <m/>
    <m/>
    <m/>
    <m/>
    <m/>
    <m/>
    <m/>
    <x v="1"/>
    <x v="1"/>
    <x v="1"/>
    <m/>
    <m/>
    <x v="2"/>
    <x v="1"/>
    <x v="2"/>
  </r>
  <r>
    <m/>
    <m/>
    <x v="2"/>
    <m/>
    <m/>
    <m/>
    <m/>
    <m/>
    <x v="329"/>
    <m/>
    <m/>
    <m/>
    <m/>
    <m/>
    <m/>
    <m/>
    <m/>
    <m/>
    <m/>
    <x v="3"/>
    <x v="1"/>
    <x v="1"/>
    <m/>
    <m/>
    <x v="2"/>
    <x v="1"/>
    <x v="2"/>
  </r>
  <r>
    <m/>
    <m/>
    <x v="2"/>
    <m/>
    <m/>
    <m/>
    <m/>
    <m/>
    <x v="329"/>
    <m/>
    <m/>
    <m/>
    <m/>
    <m/>
    <m/>
    <m/>
    <m/>
    <m/>
    <m/>
    <x v="1"/>
    <x v="1"/>
    <x v="1"/>
    <m/>
    <m/>
    <x v="2"/>
    <x v="1"/>
    <x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EAFD6073-2638-4F61-A050-CABC98CE14B8}"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5">
  <location ref="A15:C23" firstHeaderRow="0" firstDataRow="1" firstDataCol="1" rowPageCount="7" colPageCount="1"/>
  <pivotFields count="27">
    <pivotField showAll="0"/>
    <pivotField showAll="0"/>
    <pivotField axis="axisRow" showAll="0" sortType="descending">
      <items count="149">
        <item x="2"/>
        <item m="1" x="144"/>
        <item x="131"/>
        <item x="15"/>
        <item x="120"/>
        <item x="30"/>
        <item m="1" x="146"/>
        <item x="126"/>
        <item m="1" x="147"/>
        <item x="50"/>
        <item x="11"/>
        <item x="18"/>
        <item x="22"/>
        <item x="105"/>
        <item x="119"/>
        <item x="54"/>
        <item m="1" x="145"/>
        <item x="118"/>
        <item x="34"/>
        <item x="110"/>
        <item x="121"/>
        <item x="128"/>
        <item x="7"/>
        <item x="124"/>
        <item x="127"/>
        <item x="130"/>
        <item x="25"/>
        <item x="35"/>
        <item x="12"/>
        <item x="0"/>
        <item x="132"/>
        <item x="20"/>
        <item x="82"/>
        <item x="70"/>
        <item m="1" x="143"/>
        <item x="8"/>
        <item x="123"/>
        <item x="129"/>
        <item x="125"/>
        <item x="43"/>
        <item x="117"/>
        <item m="1" x="141"/>
        <item x="116"/>
        <item x="115"/>
        <item x="88"/>
        <item x="111"/>
        <item x="107"/>
        <item x="104"/>
        <item x="106"/>
        <item x="67"/>
        <item x="102"/>
        <item x="101"/>
        <item x="58"/>
        <item x="99"/>
        <item x="103"/>
        <item x="100"/>
        <item x="108"/>
        <item x="95"/>
        <item x="109"/>
        <item x="112"/>
        <item m="1" x="142"/>
        <item x="64"/>
        <item x="114"/>
        <item x="97"/>
        <item x="96"/>
        <item x="45"/>
        <item x="113"/>
        <item x="98"/>
        <item x="5"/>
        <item x="73"/>
        <item x="94"/>
        <item x="48"/>
        <item x="85"/>
        <item x="122"/>
        <item x="93"/>
        <item m="1" x="133"/>
        <item x="91"/>
        <item x="90"/>
        <item x="1"/>
        <item x="24"/>
        <item x="9"/>
        <item x="89"/>
        <item x="92"/>
        <item x="87"/>
        <item x="83"/>
        <item x="84"/>
        <item m="1" x="134"/>
        <item x="86"/>
        <item x="60"/>
        <item m="1" x="140"/>
        <item x="66"/>
        <item x="65"/>
        <item x="17"/>
        <item x="81"/>
        <item x="78"/>
        <item x="77"/>
        <item x="76"/>
        <item m="1" x="136"/>
        <item x="68"/>
        <item x="75"/>
        <item x="72"/>
        <item x="74"/>
        <item x="51"/>
        <item x="69"/>
        <item x="71"/>
        <item x="29"/>
        <item x="37"/>
        <item x="63"/>
        <item m="1" x="139"/>
        <item m="1" x="135"/>
        <item x="59"/>
        <item x="61"/>
        <item m="1" x="137"/>
        <item m="1" x="138"/>
        <item x="57"/>
        <item x="80"/>
        <item x="52"/>
        <item x="62"/>
        <item x="53"/>
        <item x="79"/>
        <item x="56"/>
        <item x="55"/>
        <item x="49"/>
        <item x="46"/>
        <item x="3"/>
        <item x="32"/>
        <item x="36"/>
        <item x="47"/>
        <item x="41"/>
        <item x="38"/>
        <item x="44"/>
        <item x="39"/>
        <item x="40"/>
        <item x="23"/>
        <item x="42"/>
        <item x="16"/>
        <item x="33"/>
        <item x="31"/>
        <item x="28"/>
        <item x="13"/>
        <item x="27"/>
        <item x="26"/>
        <item x="4"/>
        <item x="6"/>
        <item x="10"/>
        <item x="14"/>
        <item x="19"/>
        <item x="21"/>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showAll="0"/>
    <pivotField axis="axisPage" showAll="0">
      <items count="349">
        <item x="264"/>
        <item x="251"/>
        <item x="46"/>
        <item x="241"/>
        <item x="320"/>
        <item x="315"/>
        <item x="288"/>
        <item x="307"/>
        <item x="305"/>
        <item x="236"/>
        <item x="308"/>
        <item x="279"/>
        <item x="313"/>
        <item x="255"/>
        <item x="257"/>
        <item x="261"/>
        <item x="252"/>
        <item x="245"/>
        <item x="265"/>
        <item x="250"/>
        <item x="243"/>
        <item x="258"/>
        <item x="256"/>
        <item x="263"/>
        <item x="237"/>
        <item m="1" x="344"/>
        <item x="310"/>
        <item x="321"/>
        <item x="260"/>
        <item x="274"/>
        <item x="317"/>
        <item x="1"/>
        <item x="234"/>
        <item x="280"/>
        <item x="296"/>
        <item x="235"/>
        <item x="267"/>
        <item x="303"/>
        <item x="309"/>
        <item x="295"/>
        <item x="244"/>
        <item x="297"/>
        <item x="283"/>
        <item x="311"/>
        <item x="300"/>
        <item x="298"/>
        <item x="277"/>
        <item x="285"/>
        <item x="270"/>
        <item x="268"/>
        <item x="291"/>
        <item x="301"/>
        <item x="253"/>
        <item x="324"/>
        <item x="302"/>
        <item x="269"/>
        <item x="328"/>
        <item x="278"/>
        <item x="318"/>
        <item x="314"/>
        <item x="266"/>
        <item x="325"/>
        <item x="282"/>
        <item x="289"/>
        <item x="259"/>
        <item x="306"/>
        <item x="284"/>
        <item x="275"/>
        <item x="238"/>
        <item x="323"/>
        <item x="242"/>
        <item x="304"/>
        <item x="272"/>
        <item x="273"/>
        <item x="248"/>
        <item x="246"/>
        <item x="240"/>
        <item x="327"/>
        <item x="249"/>
        <item x="299"/>
        <item x="247"/>
        <item x="290"/>
        <item x="276"/>
        <item x="109"/>
        <item x="312"/>
        <item x="319"/>
        <item x="292"/>
        <item x="316"/>
        <item x="326"/>
        <item x="93"/>
        <item x="281"/>
        <item x="239"/>
        <item x="254"/>
        <item x="287"/>
        <item x="286"/>
        <item x="293"/>
        <item x="41"/>
        <item x="294"/>
        <item x="322"/>
        <item x="329"/>
        <item x="227"/>
        <item x="222"/>
        <item x="223"/>
        <item x="224"/>
        <item x="228"/>
        <item x="233"/>
        <item x="232"/>
        <item x="231"/>
        <item x="229"/>
        <item x="230"/>
        <item m="1" x="343"/>
        <item x="226"/>
        <item x="220"/>
        <item x="221"/>
        <item x="219"/>
        <item m="1" x="347"/>
        <item x="217"/>
        <item x="218"/>
        <item x="215"/>
        <item x="216"/>
        <item x="210"/>
        <item x="214"/>
        <item m="1" x="346"/>
        <item x="203"/>
        <item x="212"/>
        <item x="211"/>
        <item x="208"/>
        <item x="204"/>
        <item m="1" x="345"/>
        <item x="205"/>
        <item x="271"/>
        <item x="207"/>
        <item x="213"/>
        <item x="200"/>
        <item x="201"/>
        <item x="157"/>
        <item x="198"/>
        <item x="3"/>
        <item x="202"/>
        <item x="195"/>
        <item x="170"/>
        <item x="193"/>
        <item x="2"/>
        <item x="199"/>
        <item x="194"/>
        <item x="191"/>
        <item x="209"/>
        <item x="190"/>
        <item x="192"/>
        <item x="186"/>
        <item x="188"/>
        <item x="189"/>
        <item x="0"/>
        <item x="182"/>
        <item m="1" x="342"/>
        <item x="196"/>
        <item x="187"/>
        <item x="262"/>
        <item x="225"/>
        <item x="206"/>
        <item x="197"/>
        <item x="174"/>
        <item x="175"/>
        <item x="176"/>
        <item x="177"/>
        <item x="178"/>
        <item x="179"/>
        <item x="180"/>
        <item x="181"/>
        <item m="1" x="339"/>
        <item x="184"/>
        <item x="185"/>
        <item m="1" x="338"/>
        <item x="165"/>
        <item m="1" x="340"/>
        <item x="166"/>
        <item m="1" x="341"/>
        <item x="169"/>
        <item x="171"/>
        <item x="172"/>
        <item x="173"/>
        <item x="183"/>
        <item x="163"/>
        <item x="168"/>
        <item x="144"/>
        <item x="159"/>
        <item x="160"/>
        <item x="158"/>
        <item x="156"/>
        <item x="155"/>
        <item x="161"/>
        <item x="167"/>
        <item x="153"/>
        <item x="65"/>
        <item x="86"/>
        <item x="147"/>
        <item x="151"/>
        <item x="150"/>
        <item x="164"/>
        <item x="154"/>
        <item x="162"/>
        <item x="149"/>
        <item x="145"/>
        <item x="127"/>
        <item x="146"/>
        <item x="148"/>
        <item x="135"/>
        <item x="129"/>
        <item x="152"/>
        <item x="123"/>
        <item x="132"/>
        <item x="139"/>
        <item x="117"/>
        <item x="124"/>
        <item x="136"/>
        <item x="141"/>
        <item m="1" x="336"/>
        <item x="121"/>
        <item x="138"/>
        <item x="142"/>
        <item x="137"/>
        <item x="140"/>
        <item x="75"/>
        <item x="143"/>
        <item x="133"/>
        <item m="1" x="337"/>
        <item x="130"/>
        <item x="128"/>
        <item x="122"/>
        <item m="1" x="335"/>
        <item x="125"/>
        <item x="126"/>
        <item x="131"/>
        <item x="116"/>
        <item x="76"/>
        <item x="113"/>
        <item x="114"/>
        <item x="111"/>
        <item x="108"/>
        <item x="115"/>
        <item x="110"/>
        <item m="1" x="333"/>
        <item m="1" x="334"/>
        <item x="119"/>
        <item x="118"/>
        <item x="107"/>
        <item x="105"/>
        <item x="90"/>
        <item x="106"/>
        <item x="104"/>
        <item x="103"/>
        <item x="134"/>
        <item x="120"/>
        <item x="112"/>
        <item x="72"/>
        <item x="102"/>
        <item x="101"/>
        <item x="100"/>
        <item x="98"/>
        <item x="54"/>
        <item x="99"/>
        <item x="96"/>
        <item x="94"/>
        <item x="95"/>
        <item x="91"/>
        <item x="92"/>
        <item x="87"/>
        <item x="83"/>
        <item x="85"/>
        <item x="84"/>
        <item x="82"/>
        <item x="89"/>
        <item x="88"/>
        <item x="97"/>
        <item x="78"/>
        <item x="77"/>
        <item x="4"/>
        <item x="79"/>
        <item x="60"/>
        <item x="44"/>
        <item x="81"/>
        <item x="70"/>
        <item x="80"/>
        <item x="74"/>
        <item x="55"/>
        <item m="1" x="332"/>
        <item x="68"/>
        <item x="71"/>
        <item x="64"/>
        <item x="61"/>
        <item x="63"/>
        <item x="62"/>
        <item x="58"/>
        <item x="59"/>
        <item x="57"/>
        <item x="56"/>
        <item x="67"/>
        <item x="73"/>
        <item x="28"/>
        <item x="69"/>
        <item x="66"/>
        <item m="1" x="331"/>
        <item x="38"/>
        <item x="52"/>
        <item x="50"/>
        <item x="51"/>
        <item x="53"/>
        <item x="48"/>
        <item x="47"/>
        <item x="49"/>
        <item x="39"/>
        <item x="45"/>
        <item x="36"/>
        <item x="30"/>
        <item x="43"/>
        <item x="42"/>
        <item x="40"/>
        <item x="37"/>
        <item x="33"/>
        <item x="35"/>
        <item x="31"/>
        <item m="1" x="330"/>
        <item x="34"/>
        <item x="32"/>
        <item x="29"/>
        <item x="27"/>
        <item x="21"/>
        <item x="18"/>
        <item x="5"/>
        <item x="6"/>
        <item x="7"/>
        <item x="8"/>
        <item x="9"/>
        <item x="10"/>
        <item x="11"/>
        <item x="12"/>
        <item x="13"/>
        <item x="14"/>
        <item x="15"/>
        <item x="16"/>
        <item x="17"/>
        <item x="19"/>
        <item x="22"/>
        <item x="23"/>
        <item x="24"/>
        <item x="20"/>
        <item x="25"/>
        <item x="26"/>
        <item t="default"/>
      </items>
    </pivotField>
    <pivotField dataField="1" showAll="0"/>
    <pivotField multipleItemSelectionAllowed="1" showAll="0"/>
    <pivotField showAll="0"/>
    <pivotField showAll="0"/>
    <pivotField multipleItemSelectionAllowed="1" showAll="0"/>
    <pivotField showAll="0"/>
    <pivotField multipleItemSelectionAllowed="1" showAll="0"/>
    <pivotField dataField="1" showAll="0"/>
    <pivotField showAll="0"/>
    <pivotField showAll="0"/>
    <pivotField axis="axisPage" multipleItemSelectionAllowed="1" showAll="0">
      <items count="5">
        <item h="1" x="0"/>
        <item h="1" x="1"/>
        <item x="2"/>
        <item h="1" x="3"/>
        <item t="default"/>
      </items>
    </pivotField>
    <pivotField axis="axisPage" multipleItemSelectionAllowed="1" showAll="0">
      <items count="4">
        <item x="0"/>
        <item x="2"/>
        <item x="1"/>
        <item t="default"/>
      </items>
    </pivotField>
    <pivotField axis="axisPage" multipleItemSelectionAllowed="1" showAll="0">
      <items count="4">
        <item h="1" m="1" x="2"/>
        <item x="0"/>
        <item h="1" x="1"/>
        <item t="default"/>
      </items>
    </pivotField>
    <pivotField showAll="0"/>
    <pivotField showAll="0"/>
    <pivotField axis="axisPage" multipleItemSelectionAllowed="1" showAll="0">
      <items count="9">
        <item x="6"/>
        <item x="0"/>
        <item x="4"/>
        <item x="2"/>
        <item x="5"/>
        <item m="1" x="7"/>
        <item x="1"/>
        <item x="3"/>
        <item t="default"/>
      </items>
    </pivotField>
    <pivotField axis="axisPage" multipleItemSelectionAllowed="1" showAll="0">
      <items count="13">
        <item x="0"/>
        <item x="2"/>
        <item x="5"/>
        <item x="4"/>
        <item x="1"/>
        <item m="1" x="11"/>
        <item x="6"/>
        <item x="7"/>
        <item m="1" x="10"/>
        <item x="8"/>
        <item x="9"/>
        <item x="3"/>
        <item t="default"/>
      </items>
    </pivotField>
    <pivotField axis="axisPage" multipleItemSelectionAllowed="1" showAll="0">
      <items count="4">
        <item h="1" x="0"/>
        <item x="1"/>
        <item h="1" x="2"/>
        <item t="default"/>
      </items>
    </pivotField>
  </pivotFields>
  <rowFields count="1">
    <field x="2"/>
  </rowFields>
  <rowItems count="8">
    <i>
      <x v="5"/>
    </i>
    <i>
      <x v="68"/>
    </i>
    <i>
      <x v="32"/>
    </i>
    <i>
      <x v="11"/>
    </i>
    <i>
      <x v="140"/>
    </i>
    <i>
      <x v="18"/>
    </i>
    <i>
      <x v="27"/>
    </i>
    <i t="grand">
      <x/>
    </i>
  </rowItems>
  <colFields count="1">
    <field x="-2"/>
  </colFields>
  <colItems count="2">
    <i>
      <x/>
    </i>
    <i i="1">
      <x v="1"/>
    </i>
  </colItems>
  <pageFields count="7">
    <pageField fld="20" hier="-1"/>
    <pageField fld="19" hier="-1"/>
    <pageField fld="24" hier="-1"/>
    <pageField fld="26" hier="-1"/>
    <pageField fld="25" hier="-1"/>
    <pageField fld="8" hier="-1"/>
    <pageField fld="21" hier="-1"/>
  </pageFields>
  <dataFields count="2">
    <dataField name="Count of AIR FC" fld="16" subtotal="count" baseField="0" baseItem="0"/>
    <dataField name="Sum of Duration" fld="9" baseField="2" baseItem="32"/>
  </dataFields>
  <chartFormats count="2">
    <chartFormat chart="0" format="6" series="1">
      <pivotArea type="data" outline="0" fieldPosition="0">
        <references count="1">
          <reference field="4294967294" count="1" selected="0">
            <x v="0"/>
          </reference>
        </references>
      </pivotArea>
    </chartFormat>
    <chartFormat chart="0" format="17" series="1">
      <pivotArea type="data" outline="0" fieldPosition="0">
        <references count="1">
          <reference field="429496729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2" connectionId="1" xr16:uid="{BBED1F2C-2E9A-4174-BCA1-986C64E5D4B9}" autoFormatId="16" applyNumberFormats="0" applyBorderFormats="0" applyFontFormats="0" applyPatternFormats="0" applyAlignmentFormats="0" applyWidthHeightFormats="0">
  <queryTableRefresh nextId="28">
    <queryTableFields count="20">
      <queryTableField id="1" name="Number" tableColumnId="1"/>
      <queryTableField id="2" name="Summary" tableColumnId="2"/>
      <queryTableField id="3" name="Type" tableColumnId="3"/>
      <queryTableField id="4" name="Project lead" tableColumnId="4"/>
      <queryTableField id="21" name="Status" tableColumnId="13"/>
      <queryTableField id="22" name="Coverage" tableColumnId="14"/>
      <queryTableField id="6" name="Coverage %" tableColumnId="6"/>
      <queryTableField id="5" name="Amb Follow up" tableColumnId="5"/>
      <queryTableField id="7" name="Priority" tableColumnId="7"/>
      <queryTableField id="8" name="P" tableColumnId="8"/>
      <queryTableField id="9" name="Co" tableColumnId="9"/>
      <queryTableField id="10" name="C" tableColumnId="10"/>
      <queryTableField id="11" name="S" tableColumnId="11"/>
      <queryTableField id="12" name="T" tableColumnId="12"/>
      <queryTableField id="15" name="Close notes" tableColumnId="15"/>
      <queryTableField id="16" name="Tags" tableColumnId="16"/>
      <queryTableField id="17" name="C status" tableColumnId="17"/>
      <queryTableField id="18" name="T status" tableColumnId="18"/>
      <queryTableField id="23" name="Amb Line" tableColumnId="19"/>
      <queryTableField id="27" name="Amb Work notes" tableColumnId="20"/>
    </queryTableFields>
  </queryTableRefresh>
</queryTable>
</file>

<file path=xl/tables/_rels/table18.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D1DFC168-1B13-4A07-B984-23E1E82A205E}" name="Fleet" displayName="Fleet" ref="A1:D6" totalsRowShown="0" headerRowDxfId="331" dataDxfId="330">
  <autoFilter ref="A1:D6" xr:uid="{D1DFC168-1B13-4A07-B984-23E1E82A205E}"/>
  <tableColumns count="4">
    <tableColumn id="1" xr3:uid="{7EA08681-27D1-4783-B2DD-7B73BBFDE0E4}" name="System" dataDxfId="329"/>
    <tableColumn id="2" xr3:uid="{C31FDE60-BECB-483D-8E95-C6323DB63B3B}" name="Customer" dataDxfId="328"/>
    <tableColumn id="3" xr3:uid="{E7D7D193-1CDB-475D-88FF-7CDABA37FB15}" name="SAT" dataDxfId="327"/>
    <tableColumn id="4" xr3:uid="{2E8826C1-7890-49E0-AE21-9D76B462A6A3}" name="Site" dataDxfId="326"/>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E6DE2317-CFF0-4B9A-A2C0-B363A4B07C8C}" name="Table17" displayName="Table17" ref="D1:H25" totalsRowShown="0">
  <autoFilter ref="D1:H25" xr:uid="{E6DE2317-CFF0-4B9A-A2C0-B363A4B07C8C}"/>
  <tableColumns count="5">
    <tableColumn id="1" xr3:uid="{41060708-F913-49F9-8634-FE638013DDB8}" name="week" dataDxfId="325"/>
    <tableColumn id="2" xr3:uid="{97911F9D-9110-4C7A-9C5E-1B61964D4DD1}" name="CR51" dataDxfId="324"/>
    <tableColumn id="3" xr3:uid="{D483DD28-005E-4F04-AB64-9FE8F09788F4}" name="GY86" dataDxfId="323"/>
    <tableColumn id="4" xr3:uid="{F56A1598-5BB0-4FE0-8A78-9C4BF4B5D277}" name="GT69"/>
    <tableColumn id="6" xr3:uid="{BAB8B133-B23C-4FD7-ACFE-8CF6D02820B3}" name="Intel_tot" dataDxfId="322">
      <calculatedColumnFormula>Table17[[#This Row],[GY86]]+Table17[[#This Row],[CR51]]</calculatedColumnFormula>
    </tableColum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CE1BBA8-427A-4B44-A0A2-33B3D89C64D3}" name="Runhours_Table" displayName="Runhours_Table" ref="A3:J593" totalsRowShown="0" headerRowDxfId="321" dataDxfId="319" headerRowBorderDxfId="320" tableBorderDxfId="318">
  <autoFilter ref="A3:J593" xr:uid="{0CE1BBA8-427A-4B44-A0A2-33B3D89C64D3}"/>
  <tableColumns count="10">
    <tableColumn id="1" xr3:uid="{949EA6B6-0F04-4EFB-8CA0-B2A1EF0FC2D6}" name="System" dataDxfId="317"/>
    <tableColumn id="2" xr3:uid="{74666329-DB38-4052-9C3A-E717E1317E07}" name="Customer" dataDxfId="316">
      <calculatedColumnFormula>VLOOKUP(A4,Fleet[],2,FALSE)</calculatedColumnFormula>
    </tableColumn>
    <tableColumn id="3" xr3:uid="{2EC84294-5558-4466-B08D-47D0596E0C7A}" name="Date" dataDxfId="315"/>
    <tableColumn id="10" xr3:uid="{4666C69C-EFB8-408B-B71D-B64A3657F12A}" name="Year" dataDxfId="314">
      <calculatedColumnFormula>YEAR(DATE(YEAR(Runhours_Table[[#This Row],[Date]]-WEEKDAY(Runhours_Table[[#This Row],[Date]]-1)+4),1,1)-MOD((DATE(YEAR(Runhours_Table[[#This Row],[Date]]-WEEKDAY(Runhours_Table[[#This Row],[Date]]-1)+4),1,1)-2),7)+(7*IF(MOD((DATE(YEAR(Runhours_Table[[#This Row],[Date]]-WEEKDAY(Runhours_Table[[#This Row],[Date]]-1)+4),1,1)-2),7)&gt;3,1,0))+7)</calculatedColumnFormula>
    </tableColumn>
    <tableColumn id="9" xr3:uid="{AB6EF3DB-57F7-4B7E-82C0-0F88A356818C}" name="Week Number" dataDxfId="313">
      <calculatedColumnFormula>_xlfn.ISOWEEKNUM(Runhours_Table[[#This Row],[Date]])</calculatedColumnFormula>
    </tableColumn>
    <tableColumn id="4" xr3:uid="{20CEF34B-8679-4962-9788-8B8C8ED52A29}" name="Year-Week Number" dataDxfId="312">
      <calculatedColumnFormula>"24"&amp;_xlfn.ISOWEEKNUM(Runhours_Table[[#This Row],[Date]])</calculatedColumnFormula>
    </tableColumn>
    <tableColumn id="5" xr3:uid="{41EF671F-E19A-45DF-9A4F-E40AE9AE3C0C}" name="Productive Hours" dataDxfId="311"/>
    <tableColumn id="6" xr3:uid="{8D505ACA-8A1B-434E-AABB-A14283BFC486}" name="Up Time" dataDxfId="310"/>
    <tableColumn id="7" xr3:uid="{EE823BD9-E6A5-4A6A-8F60-D5AB9725CD86}" name="WK Difference" dataDxfId="309">
      <calculatedColumnFormula>_xlfn.ISOWEEKNUM(Runhours_Table[[#This Row],[Date]])+52*(Runhours_Table[[#This Row],[Year]]-YEAR(DATE(YEAR(TODAY()-WEEKDAY(TODAY()-1)+4),1,1)-MOD((DATE(YEAR(TODAY()-WEEKDAY(TODAY()-1)+4),1,1)-2),7)+(7*IF(MOD((DATE(YEAR(TODAY()-WEEKDAY(TODAY()-1)+4),1,1)-2),7)&gt;3,1,0))+7) )-_xlfn.ISOWEEKNUM(NOW())</calculatedColumnFormula>
    </tableColumn>
    <tableColumn id="8" xr3:uid="{4833C252-1355-4B9A-B105-8D4E632927DD}" name="Column1" dataDxfId="308"/>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31D0F294-7F68-4FB0-A1A6-CCBC4A3E7CEF}" name="Table18" displayName="Table18" ref="K28:Q57" totalsRowShown="0" headerRowDxfId="307" dataDxfId="306" headerRowCellStyle="Neutral" dataCellStyle="Calculation">
  <autoFilter ref="K28:Q57" xr:uid="{31D0F294-7F68-4FB0-A1A6-CCBC4A3E7CEF}"/>
  <tableColumns count="7">
    <tableColumn id="1" xr3:uid="{AC604403-E3BE-47BB-96F0-AA9CF57D9A65}" name="Week" dataDxfId="305" dataCellStyle="Good"/>
    <tableColumn id="2" xr3:uid="{E79722C5-F7EB-4AA9-B009-25112D0AD395}" name="CR51_p_hits" dataDxfId="304" dataCellStyle="Calculation">
      <calculatedColumnFormula>COUNTIFS(Error_Log!E:E,"="&amp;TEXT(K29,"00"),Error_Log!U:U,"Y",Error_Log!A:A,"CR51")</calculatedColumnFormula>
    </tableColumn>
    <tableColumn id="3" xr3:uid="{C98B12DC-F369-4D3F-A235-8B751120C609}" name="CR51_u_hits" dataDxfId="303" dataCellStyle="Calculation">
      <calculatedColumnFormula>COUNTIFS(Error_Log!E:E,"="&amp;TEXT(K29,"00"),Error_Log!A:A,"CR51")</calculatedColumnFormula>
    </tableColumn>
    <tableColumn id="4" xr3:uid="{65220C90-3556-4D62-9750-F0E3866DF18E}" name="GY86_p_hits" dataDxfId="302" dataCellStyle="Calculation">
      <calculatedColumnFormula>COUNTIFS(Error_Log!E:E,"="&amp;TEXT(K29,"00"),Error_Log!U:U,"Y",Error_Log!A:A,"GY86")</calculatedColumnFormula>
    </tableColumn>
    <tableColumn id="5" xr3:uid="{138AB90A-86D8-40D8-A19C-A8FEE3EFF01B}" name="GY86_u_hits" dataDxfId="301" dataCellStyle="Calculation">
      <calculatedColumnFormula>COUNTIFS(Error_Log!E:E,"="&amp;TEXT(K29,"00"),Error_Log!A:A,"GY86")</calculatedColumnFormula>
    </tableColumn>
    <tableColumn id="6" xr3:uid="{85BB0414-3BB5-47F9-B27F-9CFCB41FBD97}" name="p_hits" dataDxfId="300" dataCellStyle="Calculation">
      <calculatedColumnFormula>SUM(L29,N29)</calculatedColumnFormula>
    </tableColumn>
    <tableColumn id="7" xr3:uid="{69A50A75-4FC4-4E5B-AB2C-935F2A448C10}" name="u_hits" dataDxfId="299" dataCellStyle="Calculation">
      <calculatedColumnFormula>SUM(M29,O29)</calculatedColumnFormula>
    </tableColumn>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3348986-AFCD-4DAF-AFF3-1935A23EAB79}" name="Errorlog_table" displayName="Errorlog_table" ref="A1:AF180" totalsRowShown="0" headerRowDxfId="298" dataDxfId="296" headerRowBorderDxfId="297" tableBorderDxfId="295">
  <autoFilter ref="A1:AF180" xr:uid="{03348986-AFCD-4DAF-AFF3-1935A23EAB79}"/>
  <sortState xmlns:xlrd2="http://schemas.microsoft.com/office/spreadsheetml/2017/richdata2" ref="A2:AF178">
    <sortCondition ref="G1:G178"/>
  </sortState>
  <tableColumns count="32">
    <tableColumn id="1" xr3:uid="{2A37ABE5-3AEF-40F9-9780-CEE26F60D47D}" name="System" dataDxfId="294"/>
    <tableColumn id="2" xr3:uid="{ACF53798-4BBB-452F-A9BE-8F8ADAA90E12}" name="Customer" dataDxfId="293">
      <calculatedColumnFormula>VLOOKUP(A2,'5000_Fleet'!A:D,2,FALSE)</calculatedColumnFormula>
    </tableColumn>
    <tableColumn id="3" xr3:uid="{CC131254-877A-49F5-8F51-68BC00928C9A}" name="Root_Error" dataDxfId="292"/>
    <tableColumn id="37" xr3:uid="{AAB43A61-153B-44F7-A235-68C4CA64BF30}" name="Year" dataDxfId="291">
      <calculatedColumnFormula>YEAR(DATE(YEAR(Errorlog_table[[#This Row],[Date]]-WEEKDAY(Errorlog_table[[#This Row],[Date]]-1)+4),1,1)-MOD((DATE(YEAR(Errorlog_table[[#This Row],[Date]]-WEEKDAY(Errorlog_table[[#This Row],[Date]]-1)+4),1,1)-2),7)+(7*IF(MOD((DATE(YEAR(Errorlog_table[[#This Row],[Date]]-WEEKDAY(Errorlog_table[[#This Row],[Date]]-1)+4),1,1)-2),7)&gt;3,1,0))+7)</calculatedColumnFormula>
    </tableColumn>
    <tableColumn id="31" xr3:uid="{20EA770C-21ED-4442-9616-79AB166F0AB4}" name="Week_Number" dataDxfId="290">
      <calculatedColumnFormula>VALUE(TEXT(_xlfn.ISOWEEKNUM(Errorlog_table[[#This Row],[Date]]),"00"))</calculatedColumnFormula>
    </tableColumn>
    <tableColumn id="4" xr3:uid="{18710A47-AFA9-4C69-BF96-0399E7487008}" name="Year_Week_Number" dataDxfId="289" dataCellStyle="Normal 2">
      <calculatedColumnFormula>VALUE((Errorlog_table[[#This Row],[Year]])&amp;TEXT(Errorlog_table[[#This Row],[Week_Number]],"00"))</calculatedColumnFormula>
    </tableColumn>
    <tableColumn id="5" xr3:uid="{CADDF606-DF7C-4D3D-9DB2-F933B0C9014F}" name="Date" dataDxfId="288"/>
    <tableColumn id="6" xr3:uid="{A9C5A102-AF84-404A-9A71-D464C7BD8B63}" name="SDT_Timestamp" dataDxfId="287"/>
    <tableColumn id="7" xr3:uid="{A7FCE40B-1888-41EA-883B-F23E1280FBC2}" name="Description" dataDxfId="286"/>
    <tableColumn id="26" xr3:uid="{E3932125-4FF3-4206-B071-128D350996F6}" name="EPmID" dataDxfId="285">
      <calculatedColumnFormula>IF(LEN(VALUE(MID(Errorlog_table[[#This Row],[Description]],FIND(":",Errorlog_table[[#This Row],[Description]])+1,6)))&gt;1,MID(Errorlog_table[[#This Row],[Description]],FIND(":",Errorlog_table[[#This Row],[Description]])+1,6),"")</calculatedColumnFormula>
    </tableColumn>
    <tableColumn id="8" xr3:uid="{45B73FA5-9B0D-44F8-9FA7-DFDDDA6B83E9}" name="Duration" dataDxfId="284"/>
    <tableColumn id="9" xr3:uid="{C16BC0E8-E1BB-4739-92DD-163BC8EDA658}" name="FC" dataDxfId="283"/>
    <tableColumn id="10" xr3:uid="{CE5860FB-CBF0-4BF4-8ED5-13E7FC0DE893}" name="SO" dataDxfId="282"/>
    <tableColumn id="11" xr3:uid="{94FBAEE4-8AB7-4FF3-B906-FB71CAC02470}" name="AIR" dataDxfId="281"/>
    <tableColumn id="12" xr3:uid="{CD5958F8-FF93-4F66-AB5D-5D7FF0C4CCB9}" name="link" dataDxfId="280" dataCellStyle="Hyperlink">
      <calculatedColumnFormula>IF(N2="",HYPERLINK("https://air.asml.com/textsearch.do?sysparm_search="&amp;M2,M2),HYPERLINK("https://air.asml.com/u_qm_issues.do?sysparm_query=number="&amp;N2,N2))</calculatedColumnFormula>
    </tableColumn>
    <tableColumn id="13" xr3:uid="{EE4A82FE-6B7B-4337-89C1-49DF8983BA2D}" name="AIR_issue_confirmed" dataDxfId="279">
      <calculatedColumnFormula>LEN(Errorlog_table[[#This Row],[AIR]])</calculatedColumnFormula>
    </tableColumn>
    <tableColumn id="14" xr3:uid="{80E4BDDE-8B86-417C-B22D-A71EB8F3DCFE}" name="AIR_FC" dataCellStyle="Normal">
      <calculatedColumnFormula array="1">IF(OR(Errorlog_table[[#This Row],[AIR]]="n/a",Errorlog_table[[#This Row],[Event_code]]="Y"),"n/a",IF(Errorlog_table[[#This Row],[AIR]]="","no AIR",_xlfn.XLOOKUP(Errorlog_table[[#This Row],[AIR]],AIR_dump[[#All],[Number]],AIR_dump[[#All],[Type]],"not found",0,1)))</calculatedColumnFormula>
    </tableColumn>
    <tableColumn id="15" xr3:uid="{2AD062CF-02AE-4D55-A98B-91F4DB304388}" name="Air_issue_description" dataDxfId="278">
      <calculatedColumnFormula array="1">IF(OR(Errorlog_table[[#This Row],[AIR]]="n/a",Errorlog_table[[#This Row],[Event_code]]="Y"),"n/a",IF(Errorlog_table[[#This Row],[AIR]]="","no AIR",_xlfn.XLOOKUP(Errorlog_table[[#This Row],[AIR]],AIR_dump[[#All],[Number]],AIR_dump[[#All],[Summary]],"not found",0,1)))</calculatedColumnFormula>
    </tableColumn>
    <tableColumn id="16" xr3:uid="{579933A6-9184-4EF2-89A6-0343B235FC42}" name="Close_notes" dataDxfId="277">
      <calculatedColumnFormula array="1">_xlfn.XLOOKUP(Errorlog_table[[#This Row],[AIR]],AIR_dump[[#All],[Number]],AIR_dump[[#All],[Close notes]])</calculatedColumnFormula>
    </tableColumn>
    <tableColumn id="38" xr3:uid="{258133CC-C831-4D87-9902-44405E8C8C99}" name="WY" dataDxfId="276">
      <calculatedColumnFormula>Errorlog_table[[#This Row],[Year_Week_Number]]</calculatedColumnFormula>
    </tableColumn>
    <tableColumn id="17" xr3:uid="{2B37750C-F027-4DF0-BC78-9CD527B8B2B2}" name="P_Hits" dataDxfId="275"/>
    <tableColumn id="18" xr3:uid="{6DF735F4-9C35-4E64-B267-4E82B035285D}" name="U_Hits" dataDxfId="274"/>
    <tableColumn id="19" xr3:uid="{675E2132-076C-4DD3-8331-6336263D794E}" name="Reconciled" dataDxfId="273">
      <calculatedColumnFormula>Errorlog_table[[#This Row],[System]]</calculatedColumnFormula>
    </tableColumn>
    <tableColumn id="20" xr3:uid="{5D9CC9B5-310C-4214-B316-8538A0884030}" name="AIR2" dataDxfId="272">
      <calculatedColumnFormula>Errorlog_table[[#This Row],[link]]</calculatedColumnFormula>
    </tableColumn>
    <tableColumn id="27" xr3:uid="{0A369D22-CBD8-4E29-BF66-CBBF9E499147}" name="Event_code" dataDxfId="271">
      <calculatedColumnFormula>LEN(Errorlog_table[[#This Row],[P_Hits]])</calculatedColumnFormula>
    </tableColumn>
    <tableColumn id="21" xr3:uid="{0F7AF56E-7918-4B68-B41E-D2ECACC4F1B5}" name="Category" dataDxfId="270">
      <calculatedColumnFormula>Errorlog_table[[#This Row],[Description]]</calculatedColumnFormula>
    </tableColumn>
    <tableColumn id="23" xr3:uid="{81C5FD87-E4AC-47A1-9E7F-72AA653885B3}" name="XLD" dataDxfId="269">
      <calculatedColumnFormula>IF(K2&gt;=12,"XLD","Short down")</calculatedColumnFormula>
    </tableColumn>
    <tableColumn id="28" xr3:uid="{2408C0CD-625F-4A5A-9389-C03F227688C6}" name="Week_Diff" dataDxfId="268">
      <calculatedColumnFormula>_xlfn.ISOWEEKNUM(Errorlog_table[[#This Row],[Date]])+52*(Errorlog_table[[#This Row],[Year]]-YEAR(DATE(YEAR(TODAY()-WEEKDAY(TODAY()-1)+4),1,1)-MOD((DATE(YEAR(TODAY()-WEEKDAY(TODAY()-1)+4),1,1)-2),7)+(7*IF(MOD((DATE(YEAR(TODAY()-WEEKDAY(TODAY()-1)+4),1,1)-2),7)&gt;3,1,0))+7) )-_xlfn.ISOWEEKNUM(NOW())</calculatedColumnFormula>
    </tableColumn>
    <tableColumn id="30" xr3:uid="{3F853015-C395-48BE-91D7-54056A24E69B}" name="In_MTBFP_AND_Ulist" dataDxfId="267">
      <calculatedColumnFormula>COUNTIF(MTBF_pareto[AIR],Errorlog_table[[#This Row],[AIR]])</calculatedColumnFormula>
    </tableColumn>
    <tableColumn id="34" xr3:uid="{E33990B8-0823-4AB7-BBB4-BB01B4BABBA9}" name="Link_Timestamp" dataDxfId="266">
      <calculatedColumnFormula>TEXT(Errorlog_table[[#This Row],[Date]],"yyyy-mm-dd")&amp;"_"&amp;TEXT(Errorlog_table[[#This Row],[SDT_Timestamp]],"HH:MM:SS")&amp;"_"&amp;Errorlog_table[[#This Row],[System]]</calculatedColumnFormula>
    </tableColumn>
    <tableColumn id="36" xr3:uid="{72D43815-EBDE-4946-AF72-3C62838B22A2}" name="Check_P_U" dataDxfId="265">
      <calculatedColumnFormula>Errorlog_table[[#This Row],[P_Hits]]</calculatedColumnFormula>
    </tableColumn>
    <tableColumn id="22" xr3:uid="{66C0FA4C-EEF1-4883-A72B-200E5C24C47D}" name="NomolaPos" dataDxfId="264"/>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84A18E2-CB34-4013-BE49-48B98E7B595F}" name="Table19" displayName="Table19" ref="B1:I81" totalsRowShown="0">
  <autoFilter ref="B1:I81" xr:uid="{084A18E2-CB34-4013-BE49-48B98E7B595F}"/>
  <tableColumns count="8">
    <tableColumn id="1" xr3:uid="{0D241306-E1EB-41E8-AF64-61861CC9F2CF}" name="WY"/>
    <tableColumn id="2" xr3:uid="{81CD746A-3A69-4300-A2F4-3B3E4ACA7539}" name="AIR2"/>
    <tableColumn id="3" xr3:uid="{05C79A11-64FC-4D1D-B0CC-FED989E4ADC6}" name="uhits_CR51"/>
    <tableColumn id="4" xr3:uid="{5C8C6F9D-EA5B-4D9C-ADCA-B355D70135B0}" name="uhits_GY86"/>
    <tableColumn id="5" xr3:uid="{97FE451A-9767-486D-9537-F4D765A17360}" name="phits_CR51"/>
    <tableColumn id="6" xr3:uid="{B1A8796B-5277-41B7-9DBE-92EB1C8EF5B7}" name="phits_GY86"/>
    <tableColumn id="7" xr3:uid="{84C4BDF3-9379-44FB-A79E-F5B28CB58055}" name="Error"/>
    <tableColumn id="8" xr3:uid="{3D18E5F1-7571-489C-BEAC-8BE9E7837A22}" name="n"/>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E8E593A6-B589-48ED-8982-97A5D59123A6}" name="Table16" displayName="Table16" ref="A23:L39" totalsRowShown="0" headerRowDxfId="263" dataDxfId="262">
  <autoFilter ref="A23:L39" xr:uid="{E8E593A6-B589-48ED-8982-97A5D59123A6}"/>
  <sortState xmlns:xlrd2="http://schemas.microsoft.com/office/spreadsheetml/2017/richdata2" ref="A24:L39">
    <sortCondition descending="1" ref="G23:G39"/>
  </sortState>
  <tableColumns count="12">
    <tableColumn id="11" xr3:uid="{26E8EC2E-DC78-414A-9FDC-80E41C1BB8BB}" name="p-hits_x000a_this week" dataDxfId="261"/>
    <tableColumn id="1" xr3:uid="{6FD6D41A-39EE-4F88-ADF4-FD6DC5F6EEBC}" name="Air" dataDxfId="260"/>
    <tableColumn id="2" xr3:uid="{82B774E9-03AE-47EE-8275-ABE0527C0F38}" name="CR51_u" dataDxfId="259"/>
    <tableColumn id="3" xr3:uid="{DBEB122D-E3F9-46BA-A96F-C60273AF9E59}" name="GY86_u" dataDxfId="258"/>
    <tableColumn id="4" xr3:uid="{959F0EF2-63D9-4DA7-AFF9-52BAE3A118A7}" name="CR51_p" dataDxfId="257"/>
    <tableColumn id="5" xr3:uid="{7F4D8FE8-1ADB-41E4-BBF9-B89D42DA838D}" name="GY86_u2" dataDxfId="256"/>
    <tableColumn id="12" xr3:uid="{EE80BE11-1128-442E-AA08-601CC6BC240C}" name="SUM" dataDxfId="255">
      <calculatedColumnFormula>SUM(D24+C24)</calculatedColumnFormula>
    </tableColumn>
    <tableColumn id="6" xr3:uid="{DA8CB240-7873-4204-8C8F-250FADF8F524}" name="FC" dataDxfId="254"/>
    <tableColumn id="7" xr3:uid="{9087085F-638E-402E-8E68-9782A2417B21}" name="EventCode" dataDxfId="253"/>
    <tableColumn id="8" xr3:uid="{20999F54-8C36-45FE-8910-0F95AF5E24C9}" name="Description" dataDxfId="252"/>
    <tableColumn id="9" xr3:uid="{3AA8DED1-06BC-4D12-938A-41D5B8793BFF}" name="Remark" dataDxfId="251"/>
    <tableColumn id="10" xr3:uid="{71809E60-CDE8-4913-989F-5C11C62815B2}" name="Solution" dataDxfId="250"/>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DA04BD6-359A-451F-9C2A-6145F9C30177}" name="Table6" displayName="Table6" ref="B41:L42" insertRow="1" totalsRowShown="0" headerRowDxfId="249" dataDxfId="248">
  <autoFilter ref="B41:L42" xr:uid="{8DA04BD6-359A-451F-9C2A-6145F9C30177}"/>
  <sortState xmlns:xlrd2="http://schemas.microsoft.com/office/spreadsheetml/2017/richdata2" ref="B42:K42">
    <sortCondition descending="1" ref="H41:H42"/>
  </sortState>
  <tableColumns count="11">
    <tableColumn id="1" xr3:uid="{90A1E3E1-4FDC-4619-8058-352D18FC2C86}" name="AIR2" dataDxfId="247"/>
    <tableColumn id="2" xr3:uid="{8E8B961C-1862-4A95-B333-CBC07FF12ED8}" name="CR51_u" dataDxfId="246"/>
    <tableColumn id="3" xr3:uid="{EC70E8A7-1177-4FF3-A2A6-D2A1D2CFD020}" name="GY86_u" dataDxfId="245"/>
    <tableColumn id="4" xr3:uid="{D7BC33D6-8E63-447D-96A7-F325D6F114EF}" name="CR51_p" dataDxfId="244"/>
    <tableColumn id="5" xr3:uid="{5B321CB9-A35F-4F54-96C5-CE84BCFBFF60}" name="GY86_p" dataDxfId="243"/>
    <tableColumn id="6" xr3:uid="{58BEBD30-37EE-4A5D-A002-70A3ECFD335E}" name="sum" dataDxfId="242">
      <calculatedColumnFormula>SUM(Table6[[#This Row],[GY86_p]]+Table6[[#This Row],[GY86_u]])</calculatedColumnFormula>
    </tableColumn>
    <tableColumn id="7" xr3:uid="{B3FB4D24-23CC-44AA-AB56-A5E05DFF2D97}" name="FC" dataDxfId="241">
      <calculatedColumnFormula>VLOOKUP(Table6[[#This Row],[AIR2]],Table16[[Air]:[FC]],7,FALSE)</calculatedColumnFormula>
    </tableColumn>
    <tableColumn id="8" xr3:uid="{4EEB14B2-A3B8-49CD-8F9E-F88EE6EA3FB4}" name="EventCode" dataDxfId="240"/>
    <tableColumn id="9" xr3:uid="{94BCEB9D-55C0-42B3-A133-C505AF5A8643}" name="Description" dataDxfId="239"/>
    <tableColumn id="10" xr3:uid="{759249BE-9958-45ED-87D9-CBC2CA814B95}" name="Remark" dataDxfId="238"/>
    <tableColumn id="11" xr3:uid="{D4FDB730-5FA1-4A5D-8529-C54B24A7AF6A}" name="Solution" dataDxfId="237"/>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6CEAB2E4-6972-4718-8EC4-0591837B5B64}" name="MTBF_pareto" displayName="MTBF_pareto" ref="A6:X89" totalsRowShown="0" headerRowDxfId="236" dataDxfId="234" headerRowBorderDxfId="235" tableBorderDxfId="233" totalsRowBorderDxfId="232">
  <autoFilter ref="A6:X89" xr:uid="{6CEAB2E4-6972-4718-8EC4-0591837B5B64}">
    <filterColumn colId="0">
      <filters>
        <filter val="Open"/>
      </filters>
    </filterColumn>
  </autoFilter>
  <sortState xmlns:xlrd2="http://schemas.microsoft.com/office/spreadsheetml/2017/richdata2" ref="A10:X89">
    <sortCondition descending="1" ref="E6:E89"/>
  </sortState>
  <tableColumns count="24">
    <tableColumn id="1" xr3:uid="{96ADC6C6-E912-467C-ADCE-71D446626D9B}" name="Status" dataDxfId="231"/>
    <tableColumn id="2" xr3:uid="{4B6F4C35-DFFD-4D29-B530-7688DA020386}" name="Error code" dataDxfId="230">
      <calculatedColumnFormula>_xlfn.XLOOKUP(C7,Errorlog_table[AIR],Errorlog_table[Root_Error],"not found",0,-1)</calculatedColumnFormula>
    </tableColumn>
    <tableColumn id="3" xr3:uid="{6838B6FE-7B55-46B0-9DC3-E918AD3EEBBF}" name="AIR" dataDxfId="229"/>
    <tableColumn id="18" xr3:uid="{988254BE-D1B9-44F6-A958-F91DEC870A21}" name="Owner" dataDxfId="228">
      <calculatedColumnFormula>_xlfn.XLOOKUP(MTBF_pareto[[#This Row],[AIR]],AIR_dump[Number],AIR_dump[Project lead],"N/A",0)</calculatedColumnFormula>
    </tableColumn>
    <tableColumn id="4" xr3:uid="{F01A4E87-82B4-4957-9384-6E6666A25B02}" name="Downtime open" dataDxfId="227">
      <calculatedColumnFormula>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calculatedColumnFormula>
    </tableColumn>
    <tableColumn id="5" xr3:uid="{B8475912-1036-4A29-87C4-D1F58C399DE2}" name="Downtime solved" dataDxfId="226">
      <calculatedColumnFormula>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calculatedColumnFormula>
    </tableColumn>
    <tableColumn id="16" xr3:uid="{E7BADEC4-787E-4DB9-B4F7-E0E93D9F8105}" name="Downtime planned" dataDxfId="225">
      <calculatedColumnFormula>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calculatedColumnFormula>
    </tableColumn>
    <tableColumn id="6" xr3:uid="{CFCD3E41-2A24-435D-862B-CBB273BB23D1}" name="Description" dataDxfId="224">
      <calculatedColumnFormula>_xlfn.XLOOKUP(C7,Errorlog_table[AIR],Errorlog_table[Description],"not found",0,-1)</calculatedColumnFormula>
    </tableColumn>
    <tableColumn id="7" xr3:uid="{5987CC60-4272-425C-855C-688D8BB0CFFA}" name="Remarks" dataDxfId="223"/>
    <tableColumn id="8" xr3:uid="{01269F8C-00FF-4FC7-8DEA-C9BA34CFEF1A}" name="Main Customer" dataDxfId="222">
      <calculatedColumnFormula>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calculatedColumnFormula>
    </tableColumn>
    <tableColumn id="14" xr3:uid="{281A6099-D413-4A7B-B44D-C9ABBF171510}" name="Other Customer1" dataDxfId="221">
      <calculatedColumnFormula>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calculatedColumnFormula>
    </tableColumn>
    <tableColumn id="15" xr3:uid="{1E1C0D36-1656-4867-BA2C-B75C6DBB8F10}" name="Other Customer2" dataDxfId="220">
      <calculatedColumnFormula>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calculatedColumnFormula>
    </tableColumn>
    <tableColumn id="9" xr3:uid="{96123294-4AFB-4394-9F1B-56C0906F63C5}" name="RoW" dataDxfId="219">
      <calculatedColumnFormula>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calculatedColumnFormula>
    </tableColumn>
    <tableColumn id="10" xr3:uid="{5C5AB2EC-E1A9-4903-AD79-4E317C5246EB}" name="Total" dataDxfId="218">
      <calculatedColumnFormula>MTBF_pareto[[#This Row],[Main Customer]]+MTBF_pareto[[#This Row],[Other Customer1]]+MTBF_pareto[[#This Row],[Other Customer2]]</calculatedColumnFormula>
    </tableColumn>
    <tableColumn id="11" xr3:uid="{B52668C1-337D-47D6-906C-8261B6C96383}" name="Downtime2" dataDxfId="217">
      <calculatedColumnFormula>IF(MTBF_pareto[[#This Row],[Status]]="Solved",MTBF_pareto[[#This Row],[Downtime solved]],IF(MTBF_pareto[[#This Row],[Status]]="Open",MTBF_pareto[[#This Row],[Downtime open]],MTBF_pareto[[#This Row],[Downtime planned]]))</calculatedColumnFormula>
    </tableColumn>
    <tableColumn id="12" xr3:uid="{9D52A37E-DA2C-4415-9593-25E447F63096}" name="Last hit seen" dataDxfId="216">
      <calculatedColumnFormula array="1">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calculatedColumnFormula>
    </tableColumn>
    <tableColumn id="13" xr3:uid="{737130F4-3407-4442-B27A-EBA0D8BDBEBC}" name="Where" dataDxfId="215">
      <calculatedColumnFormula array="1">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calculatedColumnFormula>
    </tableColumn>
    <tableColumn id="17" xr3:uid="{24F5D863-3E43-4A1C-93AA-CAD8C193F452}" name="Phits last 4 wks" dataDxfId="214">
      <calculatedColumnFormula>COUNTIFS(Errorlog_table[AIR],MTBF_pareto[[#This Row],[AIR]],Errorlog_table[P_Hits],"Y",Errorlog_table[Year_Week_Number],"&gt;="&amp;$K$3,Errorlog_table[Year_Week_Number],"&lt;="&amp;$C$4)</calculatedColumnFormula>
    </tableColumn>
    <tableColumn id="21" xr3:uid="{9507B0FD-434C-4D29-8ED4-8B2DB6C155CF}" name="Uhits last 4wks" dataDxfId="213">
      <calculatedColumnFormula>COUNTIFS(Errorlog_table[AIR],MTBF_pareto[[#This Row],[AIR]],Errorlog_table[U_Hits],"Y",Errorlog_table[Year_Week_Number],"&gt;="&amp;$K$3,Errorlog_table[Year_Week_Number],"&lt;="&amp;$C$4)</calculatedColumnFormula>
    </tableColumn>
    <tableColumn id="22" xr3:uid="{989D3248-BB82-4FF8-AEF7-D9F30C6155F4}" name="Phits last 4 wks - customer" dataDxfId="212">
      <calculatedColumnFormula>COUNTIFS(Errorlog_table[AIR],MTBF_pareto[[#This Row],[AIR]],Errorlog_table[P_Hits],"Y",Errorlog_table[Year_Week_Number],"&gt;="&amp;$K$3,Errorlog_table[Year_Week_Number],"&lt;="&amp;$C$4,Errorlog_table[System],$K$1)</calculatedColumnFormula>
    </tableColumn>
    <tableColumn id="23" xr3:uid="{C415244A-E889-4965-9302-1977E2083C23}" name="Uhits last 4wks - customer" dataDxfId="211">
      <calculatedColumnFormula>COUNTIFS(Errorlog_table[AIR],MTBF_pareto[[#This Row],[AIR]],Errorlog_table[U_Hits],"Y",Errorlog_table[Year_Week_Number],"&gt;="&amp;$K$3,Errorlog_table[Year_Week_Number],"&lt;="&amp;$C$4,Errorlog_table[System],$K$1)</calculatedColumnFormula>
    </tableColumn>
    <tableColumn id="19" xr3:uid="{65777105-5463-40D1-AC52-DBAE1FD29ED9}" name="Slide" dataDxfId="210"/>
    <tableColumn id="20" xr3:uid="{D6B1DD39-818D-4604-89EF-BA05B7A38968}" name="HW/SW" dataDxfId="209"/>
    <tableColumn id="24" xr3:uid="{2B3B3BA2-9D1C-4EC0-8C25-BAF6A820904A}" name="Amb worknotes" dataDxfId="208">
      <calculatedColumnFormula>_xlfn.XLOOKUP(MTBF_pareto[[#This Row],[AIR]],AIR_dump[Number],AIR_dump[Amb Work notes],"not on amb list",0)</calculatedColumnFormula>
    </tableColumn>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2A60D9A1-E0B4-470F-95C5-8158C53D4AA0}" name="MTBF_field" displayName="MTBF_field" ref="A5:L36" totalsRowShown="0" dataDxfId="207">
  <autoFilter ref="A5:L36" xr:uid="{2A60D9A1-E0B4-470F-95C5-8158C53D4AA0}"/>
  <tableColumns count="12">
    <tableColumn id="1" xr3:uid="{62D2EBFB-2ED1-4061-8556-C8DF633103D5}" name="Week" dataDxfId="206"/>
    <tableColumn id="2" xr3:uid="{70FE2B4A-62D8-4D41-B87E-9AC19A518958}" name="Week for plot" dataDxfId="205">
      <calculatedColumnFormula>"wk"&amp;MTBF_field[[#This Row],[Week]]</calculatedColumnFormula>
    </tableColumn>
    <tableColumn id="3" xr3:uid="{A43DCF30-7ECB-44E4-88EE-6062944216CC}" name="Productive time [hrs]" dataDxfId="204">
      <calculatedColumnFormula>SUMIFS(Runhours_Table[Productive Hours],Runhours_Table[Year-Week Number],MTBF_field[[#This Row],[Week]])</calculatedColumnFormula>
    </tableColumn>
    <tableColumn id="4" xr3:uid="{C2571F63-9BBA-44D8-B0A1-F660C4FF4AA3}" name="Uptime [hrs]" dataDxfId="203">
      <calculatedColumnFormula>SUMIFS(Runhours_Table[Up Time],Runhours_Table[Year-Week Number],MTBF_field[[#This Row],[Week]])</calculatedColumnFormula>
    </tableColumn>
    <tableColumn id="5" xr3:uid="{0FC0D65F-9E64-4848-A77D-0FD1354E3713}" name="P hits" dataDxfId="202">
      <calculatedColumnFormula>'Daily Run Hours'!P5</calculatedColumnFormula>
    </tableColumn>
    <tableColumn id="6" xr3:uid="{DEC5D7DF-254A-40D0-9606-EC953E94180A}" name="U hits" dataDxfId="201">
      <calculatedColumnFormula>'Daily Run Hours'!Q5</calculatedColumnFormula>
    </tableColumn>
    <tableColumn id="7" xr3:uid="{D13E0798-596A-4A17-8225-ED0486EDEA4E}" name="MTBFp 1wma" dataDxfId="200">
      <calculatedColumnFormula>IF(MTBF_field[[#This Row],[P hits]]=0,MTBF_field[[#This Row],[Productive time '[hrs']]],MTBF_field[[#This Row],[Productive time '[hrs']]]/MTBF_field[[#This Row],[P hits]])</calculatedColumnFormula>
    </tableColumn>
    <tableColumn id="8" xr3:uid="{010B09C4-78C0-4075-AAAB-6E086BAF6138}" name="MTBFp 4wma" dataDxfId="199">
      <calculatedColumnFormula>IF(SUM(E3:E6)=0,SUM(C3:C6),SUM(C3:C6)/SUM(E3:E6))</calculatedColumnFormula>
    </tableColumn>
    <tableColumn id="11" xr3:uid="{376C7C10-B130-4923-9D64-E48777066E37}" name="MTBFp 13wma" dataDxfId="198"/>
    <tableColumn id="9" xr3:uid="{8B0870DE-2EC3-46CE-88CF-82EA3130E4B8}" name="MTBFu 1wma" dataDxfId="197">
      <calculatedColumnFormula>IF(MTBF_field[[#This Row],[U hits]]=0,MTBF_field[[#This Row],[Uptime '[hrs']]],MTBF_field[[#This Row],[Uptime '[hrs']]]/MTBF_field[[#This Row],[U hits]])</calculatedColumnFormula>
    </tableColumn>
    <tableColumn id="10" xr3:uid="{5BDF7E7C-640B-402B-9AE8-E761FE7C272D}" name="MTBFu 4wma" dataDxfId="196">
      <calculatedColumnFormula>IF(SUM(F3:F6)=0,SUM(D3:D6),SUM(D3:D6)/SUM(F3:F6))</calculatedColumnFormula>
    </tableColumn>
    <tableColumn id="12" xr3:uid="{2B6622BC-F76D-4CA5-AC1B-BA976671A66D}" name="MTBFu 13wma" dataDxfId="195"/>
  </tableColumns>
  <tableStyleInfo name="Table_presentation"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330EC8D7-A088-4E21-AC0B-16FAAE4945C4}" name="MTBF_Intel15" displayName="MTBF_Intel15" ref="A5:L30" totalsRowShown="0" headerRowDxfId="194" dataDxfId="193">
  <autoFilter ref="A5:L30" xr:uid="{22825F1E-FD7A-4A71-BE44-96551C7E5F09}"/>
  <tableColumns count="12">
    <tableColumn id="2" xr3:uid="{B418B2DC-0DE9-4A66-94B9-057DB4764B87}" name="Week" dataDxfId="192"/>
    <tableColumn id="3" xr3:uid="{557EACC0-3801-4745-8A6E-AFFA55C933AF}" name="Week for plot" dataDxfId="191">
      <calculatedColumnFormula>"wk"&amp;A6</calculatedColumnFormula>
    </tableColumn>
    <tableColumn id="4" xr3:uid="{C910E43D-4E4A-4F09-99B6-3B343AD6C1E5}" name="Productive time [hrs]" dataDxfId="190">
      <calculatedColumnFormula>SUMIFS(Runhours_Table[Productive Hours],Runhours_Table[Year-Week Number],MTBF_Intel15[[#This Row],[Week]],Runhours_Table[System],$A$1)</calculatedColumnFormula>
    </tableColumn>
    <tableColumn id="5" xr3:uid="{1C84809F-AD05-4B1A-AA62-27AB14D4A725}" name="Uptime [hrs]" dataDxfId="189">
      <calculatedColumnFormula>SUMIFS(Runhours_Table[Up Time],Runhours_Table[Year-Week Number],MTBF_Intel15[[#This Row],[Week]],Runhours_Table[System],$A$1)</calculatedColumnFormula>
    </tableColumn>
    <tableColumn id="6" xr3:uid="{462FA889-8F25-43A9-83D5-A7659EF51526}" name="P hits" dataDxfId="188">
      <calculatedColumnFormula>COUNTIFS(Errorlog_table[System],$A$1,Errorlog_table[Year_Week_Number],MTBF_Intel15[[#This Row],[Week]],Errorlog_table[P_Hits],"Y",Errorlog_table[Reconciled],"Y")</calculatedColumnFormula>
    </tableColumn>
    <tableColumn id="7" xr3:uid="{8DAF5516-C27D-4845-9D02-B1451372F5CB}" name="U hits" dataDxfId="187">
      <calculatedColumnFormula>COUNTIFS(Errorlog_table[System],$A$1,Errorlog_table[Year_Week_Number],MTBF_Intel15[[#This Row],[Week]],Errorlog_table[U_Hits],"Y",Errorlog_table[Reconciled],"Y")</calculatedColumnFormula>
    </tableColumn>
    <tableColumn id="8" xr3:uid="{1A7A5245-1C76-4EDD-A89F-66287E76E022}" name="MTBFp 1wma" dataDxfId="186">
      <calculatedColumnFormula>IF(MTBF_Intel15[[#This Row],[P hits]]=0,MTBF_Intel15[[#This Row],[Productive time '[hrs']]],MTBF_Intel15[[#This Row],[Productive time '[hrs']]]/MTBF_Intel15[[#This Row],[P hits]])</calculatedColumnFormula>
    </tableColumn>
    <tableColumn id="9" xr3:uid="{48DD4186-9C97-46FF-968B-61367A49A63F}" name="MTBFp 4wma" dataDxfId="185">
      <calculatedColumnFormula>IF(SUM(E3:E6)=0,SUM(C3:C6),SUM(C3:C6)/SUM(E3:E6))</calculatedColumnFormula>
    </tableColumn>
    <tableColumn id="1" xr3:uid="{A269E0F0-2728-4ADD-A542-50303C49E658}" name="MTBFp 13wma" dataDxfId="184"/>
    <tableColumn id="10" xr3:uid="{A6A72572-0B9B-46E7-8E77-0D6B3C8C91B7}" name="MTBFu 1wma" dataDxfId="183">
      <calculatedColumnFormula>IF(MTBF_Intel15[[#This Row],[U hits]]=0,MTBF_Intel15[[#This Row],[Uptime '[hrs']]],MTBF_Intel15[[#This Row],[Uptime '[hrs']]]/MTBF_Intel15[[#This Row],[U hits]])</calculatedColumnFormula>
    </tableColumn>
    <tableColumn id="11" xr3:uid="{36049366-4558-42F2-9925-E15D3B12B2C3}" name="MTBFu 4wma" dataDxfId="182">
      <calculatedColumnFormula>IF(SUM(F3:F6)=0,SUM(D3:D6),SUM(D3:D6)/SUM(F3:F6))</calculatedColumnFormula>
    </tableColumn>
    <tableColumn id="12" xr3:uid="{0D1E94B2-B687-4214-A162-92FA9D0000EF}" name="MTBFu 13wma" dataDxfId="181"/>
  </tableColumns>
  <tableStyleInfo name="Table_presentation"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D37CC52C-9497-44ED-A01A-FB37058CFEE5}" name="MTBF_customer_ROW" displayName="MTBF_customer_ROW" ref="A7:L32" totalsRowShown="0" dataDxfId="180">
  <autoFilter ref="A7:L32" xr:uid="{D37CC52C-9497-44ED-A01A-FB37058CFEE5}"/>
  <tableColumns count="12">
    <tableColumn id="1" xr3:uid="{7A3DE36D-75CF-4691-97FC-63847F2165C5}" name="Week" dataDxfId="179"/>
    <tableColumn id="2" xr3:uid="{D3CFE2DB-C959-4590-894B-7D0D2A2ABE26}" name="Week for plot" dataDxfId="178">
      <calculatedColumnFormula>"wk"&amp;MTBF_customer_ROW[[#This Row],[Week]]</calculatedColumnFormula>
    </tableColumn>
    <tableColumn id="3" xr3:uid="{DB22319C-E606-4682-8801-39552727C6D2}" name="Productive time [hrs]" dataDxfId="177">
      <calculatedColumnFormula array="1">_xlfn.XLOOKUP(MTBF_customer_ROW[[#This Row],[Week]],INDIRECT("MTBF_"&amp;$B$1&amp;"[Week]"),INDIRECT("MTBF_"&amp;$B$1&amp;"[Productive time '[hrs']]"),0,0)</calculatedColumnFormula>
    </tableColumn>
    <tableColumn id="4" xr3:uid="{588AC5BA-FB95-4D5D-B317-B0F41E40AFE3}" name="Uptime [hrs]" dataDxfId="176">
      <calculatedColumnFormula array="1">_xlfn.XLOOKUP(MTBF_customer_ROW[[#This Row],[Week]],INDIRECT("MTBF_"&amp;$B$1&amp;"[Week]"),INDIRECT("MTBF_"&amp;$B$1&amp;"[Uptime '[hrs']]"),0,0)</calculatedColumnFormula>
    </tableColumn>
    <tableColumn id="5" xr3:uid="{409600B4-597B-42B1-ADBF-BED78048F6EC}" name="P hits" dataDxfId="175">
      <calculatedColumnFormula array="1">_xlfn.XLOOKUP(MTBF_customer_ROW[[#This Row],[Week]],INDIRECT("MTBF_"&amp;$B$1&amp;"[Week]"),INDIRECT("MTBF_"&amp;$B$1&amp;"[P hits]"),0,0)</calculatedColumnFormula>
    </tableColumn>
    <tableColumn id="6" xr3:uid="{57D1D600-C3FF-4CC8-BDAB-61ED1074BBAA}" name="U hits" dataDxfId="174">
      <calculatedColumnFormula array="1">_xlfn.XLOOKUP(MTBF_customer_ROW[[#This Row],[Week]],INDIRECT("MTBF_"&amp;$B$1&amp;"[Week]"),INDIRECT("MTBF_"&amp;$B$1&amp;"[U hits]"),0,0)</calculatedColumnFormula>
    </tableColumn>
    <tableColumn id="7" xr3:uid="{42D05A6B-ABBB-4C7F-A389-8DA60E5C3C54}" name="MTBFp 1wma" dataDxfId="173">
      <calculatedColumnFormula array="1">_xlfn.XLOOKUP(MTBF_customer_ROW[[#This Row],[Week]],INDIRECT("MTBF_"&amp;$B$1&amp;"[Week]"),INDIRECT("MTBF_"&amp;$B$1&amp;"[MTBFp 1wma]"),0,0)</calculatedColumnFormula>
    </tableColumn>
    <tableColumn id="8" xr3:uid="{A9111F92-64DD-4E45-834F-C020A4182C4C}" name="MTBFp 4wma" dataDxfId="172">
      <calculatedColumnFormula array="1">_xlfn.XLOOKUP(MTBF_customer_ROW[[#This Row],[Week]],INDIRECT("MTBF_"&amp;$B$1&amp;"[Week]"),INDIRECT("MTBF_"&amp;$B$1&amp;"[MTBFp 4wma]"),0,0)</calculatedColumnFormula>
    </tableColumn>
    <tableColumn id="11" xr3:uid="{43183D87-466B-4346-BF3F-3FA3BB38D500}" name="MTBFp 13wma" dataDxfId="171">
      <calculatedColumnFormula array="1">_xlfn.XLOOKUP(MTBF_customer_ROW[[#This Row],[Week]],INDIRECT("MTBF_"&amp;$B$1&amp;"[Week]"),INDIRECT("MTBF_"&amp;$B$1&amp;"[MTBFp 13wma]"),0,0)</calculatedColumnFormula>
    </tableColumn>
    <tableColumn id="9" xr3:uid="{376DFB13-1CA1-4C67-8FDA-13B837D6DD60}" name="MTBFu 1wma" dataDxfId="170">
      <calculatedColumnFormula array="1">_xlfn.XLOOKUP(MTBF_customer_ROW[[#This Row],[Week]],INDIRECT("MTBF_"&amp;$B$1&amp;"[Week]"),INDIRECT("MTBF_"&amp;$B$1&amp;"[MTBFu 1wma]"),0,0)</calculatedColumnFormula>
    </tableColumn>
    <tableColumn id="10" xr3:uid="{84DEEFE8-9EEC-42DE-800E-0508CE5A1F55}" name="MTBFu 4wma" dataDxfId="169">
      <calculatedColumnFormula array="1">_xlfn.XLOOKUP(MTBF_customer_ROW[[#This Row],[Week]],INDIRECT("MTBF_"&amp;$B$1&amp;"[Week]"),INDIRECT("MTBF_"&amp;$B$1&amp;"[MTBFu 4wma]"),0,0)</calculatedColumnFormula>
    </tableColumn>
    <tableColumn id="12" xr3:uid="{711A5135-5A97-487B-AEAB-CC85DC94A913}" name="MTBFu 13wma" dataDxfId="168">
      <calculatedColumnFormula array="1">_xlfn.XLOOKUP(MTBF_customer_ROW[[#This Row],[Week]],INDIRECT("MTBF_"&amp;$B$1&amp;"[Week]"),INDIRECT("MTBF_"&amp;$B$1&amp;"[MTBFu 13wma]"),0,0)</calculatedColumnFormula>
    </tableColumn>
  </tableColumns>
  <tableStyleInfo name="Table_presentation"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8EA0BF81-9A64-4E13-A312-D52D339730CA}" name="MTBF_RoW" displayName="MTBF_RoW" ref="O7:Z32" totalsRowShown="0" dataDxfId="167">
  <autoFilter ref="O7:Z32" xr:uid="{8EA0BF81-9A64-4E13-A312-D52D339730CA}"/>
  <tableColumns count="12">
    <tableColumn id="1" xr3:uid="{92BBC4CA-EB55-420D-88D5-3632E5ECD560}" name="Week" dataDxfId="166"/>
    <tableColumn id="2" xr3:uid="{916D048F-CBA5-4D03-9601-FC2ED28432CE}" name="Week for plot" dataDxfId="165">
      <calculatedColumnFormula>"wk"&amp;MTBF_RoW[[#This Row],[Week]]</calculatedColumnFormula>
    </tableColumn>
    <tableColumn id="3" xr3:uid="{F3BBB709-D646-4343-B7C0-4F0C19D57E85}" name="Productive time [hrs]" dataDxfId="164">
      <calculatedColumnFormula array="1">_xlfn.XLOOKUP(MTBF_RoW[[#This Row],[Week]],INDIRECT("MTBF_"&amp;$P$1&amp;"[Week]"),INDIRECT("MTBF_"&amp;$P$1&amp;"[Productive time '[hrs']]"),0,0)+_xlfn.XLOOKUP(MTBF_RoW[[#This Row],[Week]],INDIRECT("MTBF_"&amp;$Q$1&amp;"[Week]"),INDIRECT("MTBF_"&amp;$Q$1&amp;"[Productive time '[hrs']]"),0,0)</calculatedColumnFormula>
    </tableColumn>
    <tableColumn id="4" xr3:uid="{D9C8C82B-79DF-4756-B94C-B8CD269A3BAB}" name="Uptime [hrs]" dataDxfId="163">
      <calculatedColumnFormula array="1">_xlfn.XLOOKUP(MTBF_RoW[[#This Row],[Week]],INDIRECT("MTBF_"&amp;$P$1&amp;"[Week]"),INDIRECT("MTBF_"&amp;$P$1&amp;"[Uptime '[hrs']]"),0,0)+_xlfn.XLOOKUP(MTBF_RoW[[#This Row],[Week]],INDIRECT("MTBF_"&amp;$Q$1&amp;"[Week]"),INDIRECT("MTBF_"&amp;$Q$1&amp;"[Uptime '[hrs']]"),0,0)</calculatedColumnFormula>
    </tableColumn>
    <tableColumn id="5" xr3:uid="{32942DE9-A911-45AB-AF99-22807934F627}" name="P hits" dataDxfId="162">
      <calculatedColumnFormula array="1">_xlfn.XLOOKUP(MTBF_RoW[[#This Row],[Week]],INDIRECT("MTBF_"&amp;$P$1&amp;"[Week]"),INDIRECT("MTBF_"&amp;$P$1&amp;"[P hits]"),0,0)+_xlfn.XLOOKUP(MTBF_RoW[[#This Row],[Week]],INDIRECT("MTBF_"&amp;$Q$1&amp;"[Week]"),INDIRECT("MTBF_"&amp;$Q$1&amp;"[P hits]"),0,0)</calculatedColumnFormula>
    </tableColumn>
    <tableColumn id="6" xr3:uid="{897B6F2F-2C31-4BA2-9D96-0EAF370778CB}" name="U hits" dataDxfId="161">
      <calculatedColumnFormula array="1">_xlfn.XLOOKUP(MTBF_RoW[[#This Row],[Week]],INDIRECT("MTBF_"&amp;$P$1&amp;"[Week]"),INDIRECT("MTBF_"&amp;$P$1&amp;"[U hits]"),0,0)+_xlfn.XLOOKUP(MTBF_RoW[[#This Row],[Week]],INDIRECT("MTBF_"&amp;$Q$1&amp;"[Week]"),INDIRECT("MTBF_"&amp;$Q$1&amp;"[U hits]"),0,0)</calculatedColumnFormula>
    </tableColumn>
    <tableColumn id="7" xr3:uid="{349E6761-1DC4-4C7E-9F78-0F3FDEF7F328}" name="MTBFp 1wma" dataDxfId="160">
      <calculatedColumnFormula>IF(MTBF_RoW[[#This Row],[P hits]]=0,MTBF_RoW[[#This Row],[Productive time '[hrs']]],MTBF_RoW[[#This Row],[Productive time '[hrs']]]/MTBF_RoW[[#This Row],[P hits]])</calculatedColumnFormula>
    </tableColumn>
    <tableColumn id="8" xr3:uid="{BF50A8F3-2DF8-4F02-BE5C-F56E189B3AA2}" name="MTBFp 4wma" dataDxfId="159">
      <calculatedColumnFormula>IF(SUM(S4:S8)=0,SUM(Q4:Q8),SUM(Q4:Q8)/SUM(S4:S8))</calculatedColumnFormula>
    </tableColumn>
    <tableColumn id="11" xr3:uid="{22CB6C69-B1EA-4681-9B00-0E16AF4A6D9F}" name="MTBFp 13wma" dataDxfId="158"/>
    <tableColumn id="9" xr3:uid="{A82E7C71-2435-42C5-AD32-1D40A45F57FA}" name="MTBFu 1wma" dataDxfId="157">
      <calculatedColumnFormula>IF(MTBF_RoW[[#This Row],[U hits]]=0,MTBF_RoW[[#This Row],[Uptime '[hrs']]],MTBF_RoW[[#This Row],[Uptime '[hrs']]]/MTBF_RoW[[#This Row],[U hits]])</calculatedColumnFormula>
    </tableColumn>
    <tableColumn id="10" xr3:uid="{829E5822-5361-492A-A29A-4CFC8CE3E035}" name="MTBFu 4wma" dataDxfId="156">
      <calculatedColumnFormula>IF(SUM(T4:T8)=0,SUM(R4:R8),SUM(R4:R8)/SUM(T4:T8))</calculatedColumnFormula>
    </tableColumn>
    <tableColumn id="12" xr3:uid="{9008EA56-6317-4EF9-A49E-D817824F4318}" name="MTBFu 13wma" dataDxfId="155"/>
  </tableColumns>
  <tableStyleInfo name="Table_presentation"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EE684C56-CB21-4140-90BD-780FE1B28E5A}" name="Table10" displayName="Table10" ref="AC7:AJ32" totalsRowShown="0" dataDxfId="154">
  <autoFilter ref="AC7:AJ32" xr:uid="{EE684C56-CB21-4140-90BD-780FE1B28E5A}"/>
  <tableColumns count="8">
    <tableColumn id="1" xr3:uid="{CB6639BF-F5D9-458C-8FAA-8CD335DC7BD6}" name="Week" dataDxfId="153"/>
    <tableColumn id="2" xr3:uid="{CE2BAD12-046F-4F34-8B13-EABBFCF7CD9D}" name="Week for plot" dataDxfId="152">
      <calculatedColumnFormula>"wk"&amp;AC8</calculatedColumnFormula>
    </tableColumn>
    <tableColumn id="3" xr3:uid="{059E8A59-98F0-4AB5-AD65-81630D955EDF}" name="MTBFp customer 1wma" dataDxfId="151">
      <calculatedColumnFormula>MTBF_customer_ROW[[#This Row],[MTBFp 1wma]]</calculatedColumnFormula>
    </tableColumn>
    <tableColumn id="4" xr3:uid="{D72C06D4-8364-4473-86BF-6F6164DC039B}" name="MTBFp customer 4wma" dataDxfId="150">
      <calculatedColumnFormula>MTBF_customer_ROW[[#This Row],[MTBFp 4wma]]</calculatedColumnFormula>
    </tableColumn>
    <tableColumn id="7" xr3:uid="{4566B837-3018-49E4-AD7E-E71E3F026393}" name="MTBFp customer 13wma" dataDxfId="149">
      <calculatedColumnFormula>IF(MTBF_customer_ROW[[#This Row],[MTBFp 13wma]]=0,NA(),MTBF_customer_ROW[[#This Row],[MTBFp 13wma]])</calculatedColumnFormula>
    </tableColumn>
    <tableColumn id="5" xr3:uid="{DB3E5AEB-B569-4EBD-B7F2-ABB198E26979}" name="MTBFp RoW 1wma" dataDxfId="148">
      <calculatedColumnFormula>MTBF_RoW[[#This Row],[MTBFp 1wma]]</calculatedColumnFormula>
    </tableColumn>
    <tableColumn id="6" xr3:uid="{1FADE8FC-7101-4DF9-A12A-FA166B6EF7A6}" name="MTBFp RoW 4wma" dataDxfId="147">
      <calculatedColumnFormula>MTBF_RoW[[#This Row],[MTBFp 4wma]]</calculatedColumnFormula>
    </tableColumn>
    <tableColumn id="8" xr3:uid="{D5A3F2CE-42CF-4765-A1EC-EF638B2FD0B8}" name="MTBFp RoW 13wma" dataDxfId="146">
      <calculatedColumnFormula>IF(MTBF_RoW[[#This Row],[MTBFp 13wma]]=0,NA(),MTBF_RoW[[#This Row],[MTBFp 13wma]])</calculatedColumnFormula>
    </tableColumn>
  </tableColumns>
  <tableStyleInfo name="Table_presentation"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2825F1E-FD7A-4A71-BE44-96551C7E5F09}" name="MTBF_Intel" displayName="MTBF_Intel" ref="A5:L30" totalsRowShown="0" headerRowDxfId="145" dataDxfId="144">
  <autoFilter ref="A5:L30" xr:uid="{22825F1E-FD7A-4A71-BE44-96551C7E5F09}"/>
  <tableColumns count="12">
    <tableColumn id="2" xr3:uid="{3A794732-6372-4D2F-B3EC-ABB047AA1D7E}" name="Week" dataDxfId="143"/>
    <tableColumn id="3" xr3:uid="{20FFC5F8-E786-49F9-8110-524EFEC15AAF}" name="Week for plot" dataDxfId="142"/>
    <tableColumn id="4" xr3:uid="{5D56DB82-94D5-461C-BE9A-24EF9DB66125}" name="Productive time [hrs]" dataDxfId="141">
      <calculatedColumnFormula>SUMIFS(Runhours_Table[Productive Hours],Runhours_Table[Year-Week Number],MTBF_Intel[[#This Row],[Week]],Runhours_Table[System],$A$1)</calculatedColumnFormula>
    </tableColumn>
    <tableColumn id="5" xr3:uid="{93286B28-8857-437E-81EB-19BE10951390}" name="Uptime [hrs]" dataDxfId="140">
      <calculatedColumnFormula>SUMIFS(Runhours_Table[Up Time],Runhours_Table[Year-Week Number],MTBF_Intel[[#This Row],[Week]],Runhours_Table[System],$A$1)</calculatedColumnFormula>
    </tableColumn>
    <tableColumn id="6" xr3:uid="{05523C75-EDC4-47D1-BA03-9F6996EF55DA}" name="P hits" dataDxfId="139">
      <calculatedColumnFormula>COUNTIFS(Errorlog_table[System],$A$1,Errorlog_table[Year_Week_Number],MTBF_Intel[[#This Row],[Week]],Errorlog_table[P_Hits],"Y",Errorlog_table[Reconciled],"Y")</calculatedColumnFormula>
    </tableColumn>
    <tableColumn id="7" xr3:uid="{61FBDA50-1C57-4FA2-A4CB-B905691E2C67}" name="U hits" dataDxfId="138">
      <calculatedColumnFormula>COUNTIFS(Errorlog_table[System],$A$1,Errorlog_table[Year_Week_Number],MTBF_Intel[[#This Row],[Week]],Errorlog_table[U_Hits],"Y",Errorlog_table[Reconciled],"Y")</calculatedColumnFormula>
    </tableColumn>
    <tableColumn id="8" xr3:uid="{344EC934-71DA-4F49-B0D7-6557D11EAA37}" name="MTBFp 1wma" dataDxfId="137">
      <calculatedColumnFormula>IF(MTBF_Intel[[#This Row],[P hits]]=0,MTBF_Intel[[#This Row],[Productive time '[hrs']]],MTBF_Intel[[#This Row],[Productive time '[hrs']]]/MTBF_Intel[[#This Row],[P hits]])</calculatedColumnFormula>
    </tableColumn>
    <tableColumn id="9" xr3:uid="{D229252C-245D-4F3B-89CA-DC89C06E8B04}" name="MTBFp 4wma" dataDxfId="136">
      <calculatedColumnFormula>IF(SUM(E3:E6)=0,SUM(C3:C6),SUM(C3:C6)/SUM(E3:E6))</calculatedColumnFormula>
    </tableColumn>
    <tableColumn id="1" xr3:uid="{75929056-73A1-482D-BF65-8C8CE7269095}" name="MTBFp 13wma" dataDxfId="135"/>
    <tableColumn id="10" xr3:uid="{43D8910D-5CBD-4003-A7FD-CE11A7CBF564}" name="MTBFu 1wma" dataDxfId="134">
      <calculatedColumnFormula>IF(MTBF_Intel[[#This Row],[U hits]]=0,MTBF_Intel[[#This Row],[Uptime '[hrs']]],MTBF_Intel[[#This Row],[Uptime '[hrs']]]/MTBF_Intel[[#This Row],[U hits]])</calculatedColumnFormula>
    </tableColumn>
    <tableColumn id="11" xr3:uid="{A2148A8F-F2F2-4A43-8534-0A16B3EE5DF6}" name="MTBFu 4wma" dataDxfId="133">
      <calculatedColumnFormula>IF(SUM(F3:F6)=0,SUM(D3:D6),SUM(D3:D6)/SUM(F3:F6))</calculatedColumnFormula>
    </tableColumn>
    <tableColumn id="12" xr3:uid="{CC049009-4D22-471B-A1E4-E37852E45487}" name="MTBFu 13wma" dataDxfId="132"/>
  </tableColumns>
  <tableStyleInfo name="Table_presentation"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C0CD1168-0658-4BE5-8E6D-7732BEAD1E20}" name="MTBF_Intel16" displayName="MTBF_Intel16" ref="A5:L30" totalsRowShown="0" headerRowDxfId="131" dataDxfId="130">
  <autoFilter ref="A5:L30" xr:uid="{22825F1E-FD7A-4A71-BE44-96551C7E5F09}"/>
  <tableColumns count="12">
    <tableColumn id="2" xr3:uid="{31F9FBDD-E57F-44C6-A76B-5FA644F293AA}" name="Week" dataDxfId="129"/>
    <tableColumn id="3" xr3:uid="{95A24C01-968A-4DBC-80A6-6AC5ECA24605}" name="Week for plot" dataDxfId="128">
      <calculatedColumnFormula>"wk"&amp;A6</calculatedColumnFormula>
    </tableColumn>
    <tableColumn id="4" xr3:uid="{FC821095-D14C-47EA-A176-20F7C2423D68}" name="Productive time [hrs]" dataDxfId="127">
      <calculatedColumnFormula>SUMIFS(Runhours_Table[Productive Hours],Runhours_Table[Year-Week Number],MTBF_Intel16[[#This Row],[Week]],Runhours_Table[System],$A$1)</calculatedColumnFormula>
    </tableColumn>
    <tableColumn id="5" xr3:uid="{AE87F6E8-BEC8-4C66-9D0E-95F54D233CAB}" name="Uptime [hrs]" dataDxfId="126">
      <calculatedColumnFormula>SUMIFS(Runhours_Table[Up Time],Runhours_Table[Year-Week Number],MTBF_Intel16[[#This Row],[Week]],Runhours_Table[System],$A$1)</calculatedColumnFormula>
    </tableColumn>
    <tableColumn id="6" xr3:uid="{1A7F9A9E-2974-4F28-B511-E3501718478D}" name="P hits" dataDxfId="125">
      <calculatedColumnFormula>COUNTIFS(Errorlog_table[System],$A$1,Errorlog_table[Year_Week_Number],MTBF_Intel16[[#This Row],[Week]],Errorlog_table[P_Hits],"Y",Errorlog_table[Reconciled],"Y")</calculatedColumnFormula>
    </tableColumn>
    <tableColumn id="7" xr3:uid="{DCF2BA3B-F14F-459A-91D2-EF38B104DC35}" name="U hits" dataDxfId="124">
      <calculatedColumnFormula>COUNTIFS(Errorlog_table[System],$A$1,Errorlog_table[Year_Week_Number],MTBF_Intel16[[#This Row],[Week]],Errorlog_table[U_Hits],"Y",Errorlog_table[Reconciled],"Y")</calculatedColumnFormula>
    </tableColumn>
    <tableColumn id="8" xr3:uid="{A84078CE-6840-4211-A950-84F467648C92}" name="MTBFp 1wma" dataDxfId="123">
      <calculatedColumnFormula>IF(MTBF_Intel16[[#This Row],[P hits]]=0,MTBF_Intel16[[#This Row],[Productive time '[hrs']]],MTBF_Intel16[[#This Row],[Productive time '[hrs']]]/MTBF_Intel16[[#This Row],[P hits]])</calculatedColumnFormula>
    </tableColumn>
    <tableColumn id="9" xr3:uid="{722522A6-A6AE-48DC-B13B-6B715C06D16E}" name="MTBFp 4wma" dataDxfId="122">
      <calculatedColumnFormula>IF(SUM(E3:E6)=0,SUM(C3:C6),SUM(C3:C6)/SUM(E3:E6))</calculatedColumnFormula>
    </tableColumn>
    <tableColumn id="1" xr3:uid="{2D7DD3BE-BA1F-4547-BC7B-B02C1D5C94D7}" name="MTBFp 13wma" dataDxfId="121"/>
    <tableColumn id="10" xr3:uid="{E3D6A1B1-FFCF-44CD-AB00-9B2D07E5FF70}" name="MTBFu 1wma" dataDxfId="120">
      <calculatedColumnFormula>IF(MTBF_Intel16[[#This Row],[U hits]]=0,MTBF_Intel16[[#This Row],[Uptime '[hrs']]],MTBF_Intel16[[#This Row],[Uptime '[hrs']]]/MTBF_Intel16[[#This Row],[U hits]])</calculatedColumnFormula>
    </tableColumn>
    <tableColumn id="11" xr3:uid="{7A9FEC53-36E2-4C78-A5D8-B4EDFD3E53A7}" name="MTBFu 4wma" dataDxfId="119">
      <calculatedColumnFormula>IF(SUM(F3:F6)=0,SUM(D3:D6),SUM(D3:D6)/SUM(F3:F6))</calculatedColumnFormula>
    </tableColumn>
    <tableColumn id="12" xr3:uid="{6ED9019C-52BF-48B0-A8C7-1B5BC9C301C2}" name="MTBFu 13wma" dataDxfId="118"/>
  </tableColumns>
  <tableStyleInfo name="Table_presentation"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455CD4B-BE68-4E44-BC12-A51297B6A34A}" name="Table3" displayName="Table3" ref="B4:X49" totalsRowShown="0" headerRowDxfId="117" dataDxfId="115" headerRowBorderDxfId="116" tableBorderDxfId="114">
  <autoFilter ref="B4:X49" xr:uid="{3455CD4B-BE68-4E44-BC12-A51297B6A34A}"/>
  <sortState xmlns:xlrd2="http://schemas.microsoft.com/office/spreadsheetml/2017/richdata2" ref="B5:X49">
    <sortCondition descending="1" ref="H4:H49"/>
  </sortState>
  <tableColumns count="23">
    <tableColumn id="1" xr3:uid="{875257E7-68F5-4CE2-8F80-116EE122E53F}" name="MTBFp" dataDxfId="113">
      <calculatedColumnFormula>IF(P5=$AI$4,CHAR($AH$4),"")</calculatedColumnFormula>
    </tableColumn>
    <tableColumn id="2" xr3:uid="{2020DF3F-B140-437F-8EB1-1B7F3A33D00F}" name="Root Error" dataDxfId="112"/>
    <tableColumn id="3" xr3:uid="{6A471974-602C-44BA-9288-6DBBCAC31129}" name="AIR" dataDxfId="111"/>
    <tableColumn id="22" xr3:uid="{0823F535-02BF-4E4B-A73D-4214128AEC48}" name="AIR link" dataDxfId="110">
      <calculatedColumnFormula>HYPERLINK("https://air.asml.com/u_qm_issues.do?sysparm_query=number="&amp;Table3[[#This Row],[AIR]],Table3[[#This Row],[AIR]])</calculatedColumnFormula>
    </tableColumn>
    <tableColumn id="4" xr3:uid="{A9A0425E-B084-4390-8E6C-933BEC9B9F11}" name="Status" dataDxfId="109"/>
    <tableColumn id="5" xr3:uid="{731790CC-879B-4353-8E61-8DAF6897A2D4}" name="Description" dataDxfId="108"/>
    <tableColumn id="6" xr3:uid="{F4AC0F4B-7798-4B32-B4A1-006C7DA05A57}" name="Time Lost" dataDxfId="107">
      <calculatedColumnFormula>SUMIFS(Errorlog_table[Duration],Errorlog_table[AIR],Table3[[#This Row],[AIR]],Errorlog_table[System],$O$2,Errorlog_table[Year_Week_Number],"&lt;"&amp;($Q$2+1))</calculatedColumnFormula>
    </tableColumn>
    <tableColumn id="7" xr3:uid="{17A55C27-D860-46CE-A689-F598F287EA88}" name="# of hits total" dataDxfId="106">
      <calculatedColumnFormula>COUNTIFS(Errorlog_table[AIR],Table3[[#This Row],[AIR]],Errorlog_table[System],$O$2,Errorlog_table[Year_Week_Number],"&lt;="&amp;$Q$2)</calculatedColumnFormula>
    </tableColumn>
    <tableColumn id="8" xr3:uid="{BCB9EE74-F545-424C-A903-939C42DA79D3}" name="# of P hits" dataDxfId="105">
      <calculatedColumnFormula>COUNTIFS(Errorlog_table[AIR],Table3[[#This Row],[AIR]],Errorlog_table[P_Hits],"Y",Errorlog_table[System],$O$2,Errorlog_table[Year_Week_Number],"&lt;="&amp;$Q$2)</calculatedColumnFormula>
    </tableColumn>
    <tableColumn id="9" xr3:uid="{2698A8A0-BBF5-4237-A673-6E6664EE20C2}" name="# of P hits 4wks" dataDxfId="104">
      <calculatedColumnFormula>COUNTIFS(Errorlog_table[AIR],Table3[[#This Row],[AIR]],Errorlog_table[P_Hits],"Y",Errorlog_table[Year_Week_Number],"&gt;="&amp;$P$2,Errorlog_table[Year_Week_Number],"&lt;="&amp;$Q$2,Errorlog_table[System],$O$2)</calculatedColumnFormula>
    </tableColumn>
    <tableColumn id="23" xr3:uid="{D45136B7-036B-4738-AD69-095661FBF7B5}" name="# of U hits w4ks" dataDxfId="103">
      <calculatedColumnFormula>COUNTIFS(Errorlog_table[AIR],Table3[[#This Row],[AIR]],Errorlog_table[U_Hits],"Y",Errorlog_table[Year_Week_Number],"&gt;="&amp;$P$2,Errorlog_table[Year_Week_Number],"&lt;="&amp;$Q$2,Errorlog_table[System],$O$2)</calculatedColumnFormula>
    </tableColumn>
    <tableColumn id="10" xr3:uid="{B8198CAC-759B-4B95-8590-2F307CE71F41}" name="Last week seen" dataDxfId="102">
      <calculatedColumnFormula array="1">_xlfn.XLOOKUP(1,(Errorlog_table[AIR]=Table3[[#This Row],[AIR]])*(Errorlog_table[System]=$O$2)*(Errorlog_table[Year_Week_Number]&lt;=$Q$2)*(Errorlog_table[U_Hits]="Y"),Errorlog_table[Year_Week_Number],"not found",0,-1)</calculatedColumnFormula>
    </tableColumn>
    <tableColumn id="11" xr3:uid="{7B6C002F-3BEC-4D03-8143-6EBB2E2FD648}" name="Remark" dataDxfId="101"/>
    <tableColumn id="12" xr3:uid="{23BECDA6-496E-44FE-93EB-CD77C63A8109}" name="Closed" dataDxfId="100"/>
    <tableColumn id="13" xr3:uid="{05F3D1B0-7A38-45C4-8FA5-18D2E3652DB9}" name="MTBFp y/n" dataDxfId="99">
      <calculatedColumnFormula>IF(Table3[[#This Row],['# of P hits]]&gt;0,IF($Q$1="y",IF(Table3[[#This Row],['# of P hits 4wks]]&gt;0,"y","n"),"y"),"n")</calculatedColumnFormula>
    </tableColumn>
    <tableColumn id="14" xr3:uid="{C9B6A89C-AFAA-472A-8E7C-C1F86BE9B8AA}" name="In last 4 wks" dataDxfId="98">
      <calculatedColumnFormula>IF(_xlfn.XLOOKUP(D5,Error_Log!O:O,Error_Log!F:F,"not found",0,-1)="not found","not found",IF($Q$2-_xlfn.XLOOKUP(D5,Error_Log!O:O,Error_Log!F:F,"not found",0,-1)&lt;=3,"y","n"))</calculatedColumnFormula>
    </tableColumn>
    <tableColumn id="15" xr3:uid="{2FECD0E2-F864-4DF6-BF1B-8C232C20BD05}" name="Delivery" dataDxfId="97">
      <calculatedColumnFormula>_xlfn.ISOWEEKNUM(_xlfn.XLOOKUP(D5,#REF!,#REF!,"not found",0))</calculatedColumnFormula>
    </tableColumn>
    <tableColumn id="18" xr3:uid="{465740AF-2CA4-47F8-8C51-DC8EFBE90B1D}" name="year" dataDxfId="96">
      <calculatedColumnFormula array="1">IF(_xlfn.XLOOKUP(D5,AIR_dump[[#All],[Number]],AIR_dump[[#All],[T]],"not found",0,1)="","",YEAR(_xlfn.XLOOKUP(D5,AIR_dump[[#All],[Number]],AIR_dump[[#All],[T]],"not found",0,1)))</calculatedColumnFormula>
    </tableColumn>
    <tableColumn id="19" xr3:uid="{ED8D8325-0A95-4DD0-8EFF-7A5CC3A12FAD}" name="wk" dataDxfId="95">
      <calculatedColumnFormula array="1">IF(_xlfn.XLOOKUP(D5,AIR_dump[[#All],[Number]],AIR_dump[[#All],[T]],"not found",0,1)="","",_xlfn.ISOWEEKNUM(_xlfn.XLOOKUP(D5,AIR_dump[[#All],[Number]],AIR_dump[[#All],[T]],"not found",0,1)))</calculatedColumnFormula>
    </tableColumn>
    <tableColumn id="20" xr3:uid="{85431C98-A78C-4E7B-A872-BC5630FBD5CF}" name="day" dataDxfId="94">
      <calculatedColumnFormula array="1">IF(_xlfn.XLOOKUP(D5,AIR_dump[[#All],[Number]],AIR_dump[[#All],[T]],"not found",0,1)="","",WEEKDAY(_xlfn.XLOOKUP(D5,AIR_dump[[#All],[Number]],AIR_dump[[#All],[T]],"not found",0,1),2))</calculatedColumnFormula>
    </tableColumn>
    <tableColumn id="21" xr3:uid="{C6457304-5163-46A6-BB6D-42701A619EFA}" name="Tclosed" dataDxfId="93">
      <calculatedColumnFormula array="1">_xlfn.XLOOKUP(D5,AIR_dump[[#All],[Number]],AIR_dump[[#All],[T status]],"not found",0,1)</calculatedColumnFormula>
    </tableColumn>
    <tableColumn id="16" xr3:uid="{C06FF12D-29EB-4C70-9BBB-A42B3BAFD78C}" name="MTBF gain" dataDxfId="92"/>
    <tableColumn id="17" xr3:uid="{C9C87377-9F7C-4950-B0FA-A3B538CCEFAB}" name="MTBF new" dataDxfId="91"/>
  </tableColumns>
  <tableStyleInfo name="Table_presentation"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83E3FAC-2358-4ED8-B1CC-1BB00DB24B56}" name="AIR_dump" displayName="AIR_dump" ref="A1:T423" tableType="queryTable" totalsRowCount="1">
  <autoFilter ref="A1:T422" xr:uid="{283E3FAC-2358-4ED8-B1CC-1BB00DB24B56}"/>
  <sortState xmlns:xlrd2="http://schemas.microsoft.com/office/spreadsheetml/2017/richdata2" ref="A107:T108">
    <sortCondition ref="S1:S322"/>
  </sortState>
  <tableColumns count="20">
    <tableColumn id="1" xr3:uid="{56B23699-EA5D-43A0-8447-5733B1E08CF9}" uniqueName="1" name="Number" queryTableFieldId="1" dataDxfId="90"/>
    <tableColumn id="2" xr3:uid="{39DD48D9-7D5C-443E-9EDD-17D4246918CC}" uniqueName="2" name="Summary" queryTableFieldId="2" dataDxfId="89"/>
    <tableColumn id="3" xr3:uid="{64A61D51-94E4-4065-937D-13D73EA1CFAA}" uniqueName="3" name="Type" queryTableFieldId="3" dataDxfId="88"/>
    <tableColumn id="4" xr3:uid="{4689EDF6-071A-4E45-B3BC-B413DC947762}" uniqueName="4" name="Project lead" queryTableFieldId="4" dataDxfId="87"/>
    <tableColumn id="13" xr3:uid="{C319453A-5874-4E86-9101-FE765227DCDA}" uniqueName="13" name="Status" queryTableFieldId="21" dataDxfId="86"/>
    <tableColumn id="14" xr3:uid="{F3F903DE-C521-458B-BE7D-2BC6297D0B6C}" uniqueName="14" name="Coverage" queryTableFieldId="22" dataDxfId="85"/>
    <tableColumn id="6" xr3:uid="{3DA49A89-9B1A-4998-AFB6-514A16DBE2EB}" uniqueName="6" name="Coverage %" queryTableFieldId="6" dataDxfId="84"/>
    <tableColumn id="5" xr3:uid="{D15F96C9-81F9-4A51-9F0C-1AFB1A53CF32}" uniqueName="5" name="Amb Follow up" queryTableFieldId="5" dataDxfId="83"/>
    <tableColumn id="7" xr3:uid="{25634458-7E5C-44CF-A71F-7C19AE38E40F}" uniqueName="7" name="Priority" queryTableFieldId="7" dataDxfId="82"/>
    <tableColumn id="8" xr3:uid="{705F3468-3D26-41ED-9987-5DE5DF69D7A6}" uniqueName="8" name="P" queryTableFieldId="8" dataDxfId="81"/>
    <tableColumn id="9" xr3:uid="{F119BD69-A57A-4092-80B9-6D0ADB1FC8AA}" uniqueName="9" name="Co" queryTableFieldId="9" dataDxfId="80"/>
    <tableColumn id="10" xr3:uid="{24F4A645-CEEE-4A82-A309-71ECE8A64293}" uniqueName="10" name="C" queryTableFieldId="10" dataDxfId="79"/>
    <tableColumn id="11" xr3:uid="{C69F2362-5902-463C-9DAA-AC181C23FE39}" uniqueName="11" name="S" queryTableFieldId="11" dataDxfId="78"/>
    <tableColumn id="12" xr3:uid="{7BED75AF-0BA1-4AAE-8550-FD35F2E35FB2}" uniqueName="12" name="T" queryTableFieldId="12" dataDxfId="77"/>
    <tableColumn id="15" xr3:uid="{6C00340E-CF45-4528-B3E1-5A1300A9C5D9}" uniqueName="15" name="Close notes" queryTableFieldId="15" dataDxfId="76"/>
    <tableColumn id="16" xr3:uid="{FBEAD5C0-F359-4378-96C7-7F30DC255A0E}" uniqueName="16" name="Tags" queryTableFieldId="16" dataDxfId="75"/>
    <tableColumn id="17" xr3:uid="{C9EDD367-4536-4D0D-B246-730B014AC85A}" uniqueName="17" name="C status" queryTableFieldId="17" dataDxfId="74"/>
    <tableColumn id="18" xr3:uid="{FC28A73F-5BDD-46A0-A88D-05D5BF96EA62}" uniqueName="18" name="T status" queryTableFieldId="18" dataDxfId="73"/>
    <tableColumn id="19" xr3:uid="{EF1C812A-8FF6-41B5-A817-92164C88C748}" uniqueName="19" name="Amb Line" queryTableFieldId="23" dataDxfId="72"/>
    <tableColumn id="20" xr3:uid="{CB58DEAC-5818-4920-BCC9-F2DAA898EE3A}" uniqueName="20" name="Amb Work notes" queryTableFieldId="27" dataDxfId="71"/>
  </tableColumns>
  <tableStyleInfo name="TableStyleMedium7"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BD6881C1-6034-49D8-90FA-705FAC6CCF91}" name="Table5" displayName="Table5" ref="A1:E8" totalsRowShown="0" headerRowDxfId="70" dataDxfId="69">
  <autoFilter ref="A1:E8" xr:uid="{BD6881C1-6034-49D8-90FA-705FAC6CCF91}"/>
  <tableColumns count="5">
    <tableColumn id="1" xr3:uid="{D3419994-4EBF-4493-BC4F-CE3A68D07142}" name="Column1" dataDxfId="68"/>
    <tableColumn id="2" xr3:uid="{A13B16B7-5475-4A35-875B-9F9134A96B5D}" name="Line Item" dataDxfId="67"/>
    <tableColumn id="8" xr3:uid="{7591449D-DF40-4220-9654-922D838CCC97}" name="Scope" dataDxfId="66"/>
    <tableColumn id="9" xr3:uid="{3DDEA8D5-7738-42B5-8668-C8BD621EBA69}" name="Coverage (definition)" dataDxfId="65"/>
    <tableColumn id="10" xr3:uid="{FF00CA8F-485C-43FF-AF10-91C4B3727CF3}" name="Remarks" dataDxfId="64"/>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printerSettings" Target="../printerSettings/printerSettings2.bin"/><Relationship Id="rId1" Type="http://schemas.openxmlformats.org/officeDocument/2006/relationships/hyperlink" Target="https://air.asml.com/u_qm_issues.do?sys_id=252edcda7cfc9610fb98da06f931e1a1" TargetMode="Externa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1.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table" Target="../tables/table7.xml"/></Relationships>
</file>

<file path=xl/worksheets/_rels/sheet12.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ivotTable" Target="../pivotTables/pivotTable1.xml"/></Relationships>
</file>

<file path=xl/worksheets/_rels/sheet14.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drawing" Target="../drawings/drawing6.xml"/></Relationships>
</file>

<file path=xl/worksheets/_rels/sheet15.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drawing" Target="../drawings/drawing7.xml"/></Relationships>
</file>

<file path=xl/worksheets/_rels/sheet16.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table" Target="../tables/table12.xml"/><Relationship Id="rId1" Type="http://schemas.openxmlformats.org/officeDocument/2006/relationships/drawing" Target="../drawings/drawing8.xml"/><Relationship Id="rId4" Type="http://schemas.openxmlformats.org/officeDocument/2006/relationships/table" Target="../tables/table14.xml"/></Relationships>
</file>

<file path=xl/worksheets/_rels/sheet17.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drawing" Target="../drawings/drawing9.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9.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drawing" Target="../drawings/drawing11.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21.xml.rels><?xml version="1.0" encoding="UTF-8" standalone="yes"?>
<Relationships xmlns="http://schemas.openxmlformats.org/package/2006/relationships"><Relationship Id="rId1" Type="http://schemas.openxmlformats.org/officeDocument/2006/relationships/table" Target="../tables/table17.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5.xml.rels><?xml version="1.0" encoding="UTF-8" standalone="yes"?>
<Relationships xmlns="http://schemas.openxmlformats.org/package/2006/relationships"><Relationship Id="rId1" Type="http://schemas.openxmlformats.org/officeDocument/2006/relationships/table" Target="../tables/table18.xml"/></Relationships>
</file>

<file path=xl/worksheets/_rels/sheet26.xml.rels><?xml version="1.0" encoding="UTF-8" standalone="yes"?>
<Relationships xmlns="http://schemas.openxmlformats.org/package/2006/relationships"><Relationship Id="rId1" Type="http://schemas.openxmlformats.org/officeDocument/2006/relationships/table" Target="../tables/table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5C4C5-36EA-4AF1-9A9B-CF624750C7A5}">
  <sheetPr codeName="Sheet1">
    <tabColor rgb="FF92D050"/>
  </sheetPr>
  <dimension ref="A1:D6"/>
  <sheetViews>
    <sheetView workbookViewId="0">
      <selection activeCell="A2" sqref="A2"/>
    </sheetView>
  </sheetViews>
  <sheetFormatPr defaultRowHeight="15"/>
  <cols>
    <col min="1" max="1" width="10.42578125" customWidth="1"/>
    <col min="2" max="2" width="16.42578125" customWidth="1"/>
    <col min="3" max="3" width="14.42578125" customWidth="1"/>
    <col min="4" max="4" width="25.5703125" customWidth="1"/>
  </cols>
  <sheetData>
    <row r="1" spans="1:4">
      <c r="A1" s="58" t="s">
        <v>0</v>
      </c>
      <c r="B1" s="58" t="s">
        <v>1</v>
      </c>
      <c r="C1" s="58" t="s">
        <v>2</v>
      </c>
      <c r="D1" s="58" t="s">
        <v>3</v>
      </c>
    </row>
    <row r="2" spans="1:4">
      <c r="A2" s="3" t="s">
        <v>4</v>
      </c>
      <c r="B2" s="3" t="s">
        <v>5</v>
      </c>
      <c r="C2" s="3">
        <v>2430</v>
      </c>
      <c r="D2" s="3" t="s">
        <v>6</v>
      </c>
    </row>
    <row r="3" spans="1:4">
      <c r="A3" s="3" t="s">
        <v>7</v>
      </c>
      <c r="B3" s="3" t="s">
        <v>5</v>
      </c>
      <c r="C3" s="3">
        <v>2437</v>
      </c>
      <c r="D3" s="3" t="s">
        <v>6</v>
      </c>
    </row>
    <row r="4" spans="1:4">
      <c r="A4" s="15" t="s">
        <v>8</v>
      </c>
      <c r="B4" s="15" t="s">
        <v>9</v>
      </c>
      <c r="C4" s="15" t="s">
        <v>10</v>
      </c>
      <c r="D4" s="3" t="s">
        <v>11</v>
      </c>
    </row>
    <row r="5" spans="1:4">
      <c r="A5" s="3" t="s">
        <v>12</v>
      </c>
      <c r="B5" s="3" t="s">
        <v>13</v>
      </c>
      <c r="C5" s="3" t="s">
        <v>10</v>
      </c>
      <c r="D5" s="3" t="s">
        <v>14</v>
      </c>
    </row>
    <row r="6" spans="1:4">
      <c r="A6" s="442" t="s">
        <v>15</v>
      </c>
      <c r="B6" s="9" t="s">
        <v>16</v>
      </c>
      <c r="C6" s="37" t="s">
        <v>10</v>
      </c>
      <c r="D6" s="9" t="s">
        <v>17</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8ED5B8-2D0B-4AFA-A97A-B8B0C5B77848}">
  <sheetPr codeName="Sheet3"/>
  <dimension ref="A1:H53"/>
  <sheetViews>
    <sheetView workbookViewId="0">
      <selection activeCell="G25" sqref="G25"/>
    </sheetView>
  </sheetViews>
  <sheetFormatPr defaultRowHeight="15"/>
  <cols>
    <col min="8" max="8" width="9.140625" style="37"/>
  </cols>
  <sheetData>
    <row r="1" spans="1:8">
      <c r="A1" s="9" t="s">
        <v>18</v>
      </c>
      <c r="B1" s="9"/>
      <c r="C1" s="9" t="s">
        <v>19</v>
      </c>
      <c r="D1" s="9" t="s">
        <v>20</v>
      </c>
      <c r="E1" s="181" t="s">
        <v>4</v>
      </c>
      <c r="F1" s="181" t="s">
        <v>7</v>
      </c>
      <c r="G1" t="s">
        <v>12</v>
      </c>
      <c r="H1" s="37" t="s">
        <v>21</v>
      </c>
    </row>
    <row r="2" spans="1:8">
      <c r="A2" s="9">
        <v>2024</v>
      </c>
      <c r="C2" s="163" t="s">
        <v>22</v>
      </c>
      <c r="D2" s="163"/>
      <c r="E2">
        <v>12</v>
      </c>
      <c r="F2">
        <v>12</v>
      </c>
      <c r="H2" s="37">
        <f>Table17[[#This Row],[GY86]]+Table17[[#This Row],[CR51]]</f>
        <v>24</v>
      </c>
    </row>
    <row r="3" spans="1:8">
      <c r="A3" s="9">
        <v>2025</v>
      </c>
      <c r="C3" s="163" t="s">
        <v>23</v>
      </c>
      <c r="D3" s="163" t="s">
        <v>24</v>
      </c>
      <c r="E3" s="34">
        <v>11</v>
      </c>
      <c r="F3" s="34">
        <v>13</v>
      </c>
      <c r="H3" s="37">
        <f>Table17[[#This Row],[GY86]]+Table17[[#This Row],[CR51]]</f>
        <v>24</v>
      </c>
    </row>
    <row r="4" spans="1:8">
      <c r="A4" s="9">
        <v>2026</v>
      </c>
      <c r="C4" s="163" t="s">
        <v>25</v>
      </c>
      <c r="D4" s="163" t="s">
        <v>26</v>
      </c>
      <c r="E4" s="34">
        <v>11</v>
      </c>
      <c r="F4" s="34">
        <v>13</v>
      </c>
      <c r="H4" s="37">
        <f>Table17[[#This Row],[GY86]]+Table17[[#This Row],[CR51]]</f>
        <v>24</v>
      </c>
    </row>
    <row r="5" spans="1:8">
      <c r="C5" s="163" t="s">
        <v>27</v>
      </c>
      <c r="D5" s="163" t="s">
        <v>28</v>
      </c>
      <c r="E5" s="34">
        <v>11</v>
      </c>
      <c r="F5" s="34">
        <v>13</v>
      </c>
      <c r="H5" s="37">
        <f>Table17[[#This Row],[GY86]]+Table17[[#This Row],[CR51]]</f>
        <v>24</v>
      </c>
    </row>
    <row r="6" spans="1:8">
      <c r="C6" s="163" t="s">
        <v>29</v>
      </c>
      <c r="D6" s="163" t="s">
        <v>30</v>
      </c>
      <c r="E6" s="34">
        <v>13</v>
      </c>
      <c r="F6" s="34">
        <v>17</v>
      </c>
      <c r="H6" s="37">
        <f>Table17[[#This Row],[GY86]]+Table17[[#This Row],[CR51]]</f>
        <v>30</v>
      </c>
    </row>
    <row r="7" spans="1:8">
      <c r="C7" s="163" t="s">
        <v>31</v>
      </c>
      <c r="D7" s="163" t="s">
        <v>32</v>
      </c>
      <c r="E7" s="34">
        <v>10</v>
      </c>
      <c r="F7" s="34">
        <v>19</v>
      </c>
      <c r="H7" s="37">
        <f>Table17[[#This Row],[GY86]]+Table17[[#This Row],[CR51]]</f>
        <v>29</v>
      </c>
    </row>
    <row r="8" spans="1:8">
      <c r="C8" s="163" t="s">
        <v>33</v>
      </c>
      <c r="D8" s="163" t="s">
        <v>34</v>
      </c>
      <c r="E8" s="34">
        <v>10</v>
      </c>
      <c r="F8" s="34">
        <v>21</v>
      </c>
      <c r="H8" s="37">
        <f>Table17[[#This Row],[GY86]]+Table17[[#This Row],[CR51]]</f>
        <v>31</v>
      </c>
    </row>
    <row r="9" spans="1:8">
      <c r="C9" s="163" t="s">
        <v>35</v>
      </c>
      <c r="D9" s="163" t="s">
        <v>36</v>
      </c>
      <c r="E9" s="34">
        <v>10</v>
      </c>
      <c r="F9" s="34">
        <v>24</v>
      </c>
      <c r="H9" s="37">
        <f>Table17[[#This Row],[GY86]]+Table17[[#This Row],[CR51]]</f>
        <v>34</v>
      </c>
    </row>
    <row r="10" spans="1:8">
      <c r="C10" s="163" t="s">
        <v>37</v>
      </c>
      <c r="D10" s="163" t="s">
        <v>38</v>
      </c>
      <c r="E10" s="34">
        <v>11</v>
      </c>
      <c r="F10" s="34">
        <v>25</v>
      </c>
      <c r="H10" s="37">
        <f>Table17[[#This Row],[GY86]]+Table17[[#This Row],[CR51]]</f>
        <v>36</v>
      </c>
    </row>
    <row r="11" spans="1:8">
      <c r="C11" s="9">
        <v>10</v>
      </c>
      <c r="D11" s="163" t="s">
        <v>39</v>
      </c>
      <c r="E11" s="34">
        <v>14</v>
      </c>
      <c r="F11" s="34">
        <v>25</v>
      </c>
      <c r="H11" s="37">
        <f>Table17[[#This Row],[GY86]]+Table17[[#This Row],[CR51]]</f>
        <v>39</v>
      </c>
    </row>
    <row r="12" spans="1:8">
      <c r="C12" s="9">
        <v>11</v>
      </c>
      <c r="D12" s="163" t="s">
        <v>40</v>
      </c>
      <c r="E12" s="34">
        <v>15</v>
      </c>
      <c r="F12" s="34">
        <v>29</v>
      </c>
      <c r="H12" s="37">
        <f>Table17[[#This Row],[GY86]]+Table17[[#This Row],[CR51]]</f>
        <v>44</v>
      </c>
    </row>
    <row r="13" spans="1:8">
      <c r="C13" s="9">
        <v>12</v>
      </c>
      <c r="D13" s="163" t="s">
        <v>41</v>
      </c>
      <c r="E13" s="34">
        <v>17</v>
      </c>
      <c r="F13" s="34">
        <v>30</v>
      </c>
      <c r="H13" s="37">
        <f>Table17[[#This Row],[GY86]]+Table17[[#This Row],[CR51]]</f>
        <v>47</v>
      </c>
    </row>
    <row r="14" spans="1:8">
      <c r="C14" s="9">
        <v>13</v>
      </c>
      <c r="D14" s="163" t="s">
        <v>42</v>
      </c>
      <c r="E14" s="34">
        <v>15</v>
      </c>
      <c r="F14" s="34">
        <v>27</v>
      </c>
      <c r="H14" s="37">
        <f>Table17[[#This Row],[GY86]]+Table17[[#This Row],[CR51]]</f>
        <v>42</v>
      </c>
    </row>
    <row r="15" spans="1:8">
      <c r="C15" s="9">
        <v>14</v>
      </c>
      <c r="D15" s="163" t="s">
        <v>43</v>
      </c>
      <c r="E15" s="34">
        <v>19</v>
      </c>
      <c r="F15" s="34">
        <v>25</v>
      </c>
      <c r="H15" s="37">
        <f>Table17[[#This Row],[GY86]]+Table17[[#This Row],[CR51]]</f>
        <v>44</v>
      </c>
    </row>
    <row r="16" spans="1:8">
      <c r="C16" s="9">
        <v>15</v>
      </c>
      <c r="D16" s="163" t="s">
        <v>44</v>
      </c>
      <c r="E16" s="34">
        <v>20</v>
      </c>
      <c r="F16" s="34">
        <v>23</v>
      </c>
      <c r="H16" s="37">
        <f>Table17[[#This Row],[GY86]]+Table17[[#This Row],[CR51]]</f>
        <v>43</v>
      </c>
    </row>
    <row r="17" spans="3:8">
      <c r="C17" s="9">
        <v>16</v>
      </c>
      <c r="D17" s="163" t="s">
        <v>45</v>
      </c>
      <c r="E17" s="34">
        <v>20</v>
      </c>
      <c r="F17" s="34">
        <v>24</v>
      </c>
      <c r="H17" s="37">
        <f>Table17[[#This Row],[GY86]]+Table17[[#This Row],[CR51]]</f>
        <v>44</v>
      </c>
    </row>
    <row r="18" spans="3:8">
      <c r="C18" s="9">
        <v>17</v>
      </c>
      <c r="D18" s="163" t="s">
        <v>46</v>
      </c>
      <c r="E18" s="34">
        <v>21</v>
      </c>
      <c r="F18" s="34">
        <v>25</v>
      </c>
      <c r="H18" s="37">
        <f>Table17[[#This Row],[GY86]]+Table17[[#This Row],[CR51]]</f>
        <v>46</v>
      </c>
    </row>
    <row r="19" spans="3:8">
      <c r="C19" s="9">
        <v>18</v>
      </c>
      <c r="D19" s="163" t="s">
        <v>47</v>
      </c>
      <c r="E19" s="34">
        <v>20</v>
      </c>
      <c r="F19" s="34">
        <v>21</v>
      </c>
      <c r="H19" s="37">
        <f>Table17[[#This Row],[GY86]]+Table17[[#This Row],[CR51]]</f>
        <v>41</v>
      </c>
    </row>
    <row r="20" spans="3:8">
      <c r="C20" s="9">
        <v>19</v>
      </c>
      <c r="D20" s="163" t="s">
        <v>48</v>
      </c>
      <c r="E20" s="34">
        <v>20</v>
      </c>
      <c r="F20" s="34">
        <v>19</v>
      </c>
      <c r="H20" s="37">
        <f>Table17[[#This Row],[GY86]]+Table17[[#This Row],[CR51]]</f>
        <v>39</v>
      </c>
    </row>
    <row r="21" spans="3:8">
      <c r="C21" s="9">
        <v>20</v>
      </c>
      <c r="D21" s="163" t="s">
        <v>49</v>
      </c>
      <c r="E21" s="34">
        <v>20</v>
      </c>
      <c r="F21" s="34">
        <v>20</v>
      </c>
      <c r="H21" s="37">
        <f>Table17[[#This Row],[GY86]]+Table17[[#This Row],[CR51]]</f>
        <v>40</v>
      </c>
    </row>
    <row r="22" spans="3:8">
      <c r="C22" s="9">
        <v>21</v>
      </c>
      <c r="D22" s="163" t="s">
        <v>50</v>
      </c>
      <c r="E22" s="34">
        <v>23</v>
      </c>
      <c r="F22" s="34">
        <v>19</v>
      </c>
      <c r="H22" s="37">
        <f>Table17[[#This Row],[GY86]]+Table17[[#This Row],[CR51]]</f>
        <v>42</v>
      </c>
    </row>
    <row r="23" spans="3:8">
      <c r="C23" s="9">
        <v>22</v>
      </c>
      <c r="D23" s="163" t="s">
        <v>51</v>
      </c>
      <c r="E23" s="34">
        <v>23</v>
      </c>
      <c r="F23" s="34">
        <v>19</v>
      </c>
      <c r="H23" s="37">
        <f>Table17[[#This Row],[GY86]]+Table17[[#This Row],[CR51]]</f>
        <v>42</v>
      </c>
    </row>
    <row r="24" spans="3:8">
      <c r="C24" s="9">
        <v>23</v>
      </c>
      <c r="D24" s="163" t="s">
        <v>52</v>
      </c>
      <c r="E24" s="34">
        <v>20</v>
      </c>
      <c r="F24" s="34">
        <v>19</v>
      </c>
      <c r="H24" s="37">
        <f>Table17[[#This Row],[GY86]]+Table17[[#This Row],[CR51]]</f>
        <v>39</v>
      </c>
    </row>
    <row r="25" spans="3:8">
      <c r="C25" s="9">
        <v>24</v>
      </c>
      <c r="D25" s="163" t="s">
        <v>53</v>
      </c>
      <c r="E25" s="34">
        <v>20</v>
      </c>
      <c r="F25" s="34">
        <v>15</v>
      </c>
      <c r="H25" s="37">
        <f>Table17[[#This Row],[GY86]]+Table17[[#This Row],[CR51]]</f>
        <v>35</v>
      </c>
    </row>
    <row r="26" spans="3:8">
      <c r="C26" s="9">
        <v>25</v>
      </c>
      <c r="D26" s="9"/>
    </row>
    <row r="27" spans="3:8">
      <c r="C27" s="9">
        <v>26</v>
      </c>
      <c r="D27" s="9"/>
    </row>
    <row r="28" spans="3:8">
      <c r="C28" s="9">
        <v>27</v>
      </c>
      <c r="D28" s="9"/>
    </row>
    <row r="29" spans="3:8">
      <c r="C29" s="9">
        <v>28</v>
      </c>
      <c r="D29" s="9"/>
    </row>
    <row r="30" spans="3:8">
      <c r="C30" s="9">
        <v>29</v>
      </c>
      <c r="D30" s="9"/>
    </row>
    <row r="31" spans="3:8">
      <c r="C31" s="9">
        <v>30</v>
      </c>
      <c r="D31" s="9"/>
    </row>
    <row r="32" spans="3:8">
      <c r="C32" s="9">
        <v>31</v>
      </c>
      <c r="D32" s="9"/>
    </row>
    <row r="33" spans="3:4">
      <c r="C33" s="9">
        <v>32</v>
      </c>
      <c r="D33" s="9"/>
    </row>
    <row r="34" spans="3:4">
      <c r="C34" s="9">
        <v>33</v>
      </c>
      <c r="D34" s="9"/>
    </row>
    <row r="35" spans="3:4">
      <c r="C35" s="9">
        <v>34</v>
      </c>
      <c r="D35" s="9"/>
    </row>
    <row r="36" spans="3:4">
      <c r="C36" s="9">
        <v>35</v>
      </c>
      <c r="D36" s="9"/>
    </row>
    <row r="37" spans="3:4">
      <c r="C37" s="9">
        <v>36</v>
      </c>
      <c r="D37" s="9"/>
    </row>
    <row r="38" spans="3:4">
      <c r="C38" s="9">
        <v>37</v>
      </c>
      <c r="D38" s="9"/>
    </row>
    <row r="39" spans="3:4">
      <c r="C39" s="9">
        <v>38</v>
      </c>
      <c r="D39" s="9"/>
    </row>
    <row r="40" spans="3:4">
      <c r="C40" s="9">
        <v>39</v>
      </c>
      <c r="D40" s="9"/>
    </row>
    <row r="41" spans="3:4">
      <c r="C41" s="9">
        <v>40</v>
      </c>
      <c r="D41" s="9"/>
    </row>
    <row r="42" spans="3:4">
      <c r="C42" s="9">
        <v>41</v>
      </c>
      <c r="D42" s="9"/>
    </row>
    <row r="43" spans="3:4">
      <c r="C43" s="9">
        <v>42</v>
      </c>
      <c r="D43" s="9"/>
    </row>
    <row r="44" spans="3:4">
      <c r="C44" s="9">
        <v>43</v>
      </c>
      <c r="D44" s="9"/>
    </row>
    <row r="45" spans="3:4">
      <c r="C45" s="9">
        <v>44</v>
      </c>
      <c r="D45" s="9"/>
    </row>
    <row r="46" spans="3:4">
      <c r="C46" s="9">
        <v>45</v>
      </c>
      <c r="D46" s="9"/>
    </row>
    <row r="47" spans="3:4">
      <c r="C47" s="9">
        <v>46</v>
      </c>
      <c r="D47" s="9"/>
    </row>
    <row r="48" spans="3:4">
      <c r="C48" s="9">
        <v>47</v>
      </c>
      <c r="D48" s="9"/>
    </row>
    <row r="49" spans="3:4">
      <c r="C49" s="9">
        <v>48</v>
      </c>
      <c r="D49" s="9"/>
    </row>
    <row r="50" spans="3:4">
      <c r="C50" s="9">
        <v>49</v>
      </c>
      <c r="D50" s="9"/>
    </row>
    <row r="51" spans="3:4">
      <c r="C51" s="9">
        <v>50</v>
      </c>
      <c r="D51" s="9"/>
    </row>
    <row r="52" spans="3:4">
      <c r="C52" s="9">
        <v>51</v>
      </c>
      <c r="D52" s="9"/>
    </row>
    <row r="53" spans="3:4">
      <c r="C53" s="9">
        <v>52</v>
      </c>
      <c r="D53" s="9"/>
    </row>
  </sheetData>
  <phoneticPr fontId="2" type="noConversion"/>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3D968B-6296-4A4C-A5F4-E8D4E4E80B15}">
  <sheetPr codeName="Sheet2">
    <tabColor rgb="FF92D050"/>
  </sheetPr>
  <dimension ref="A1:U593"/>
  <sheetViews>
    <sheetView topLeftCell="A469" workbookViewId="0">
      <selection activeCell="C491" sqref="C491"/>
    </sheetView>
  </sheetViews>
  <sheetFormatPr defaultRowHeight="15"/>
  <cols>
    <col min="1" max="1" width="12.5703125" style="37" customWidth="1"/>
    <col min="2" max="2" width="17" customWidth="1"/>
    <col min="3" max="3" width="18" customWidth="1"/>
    <col min="4" max="4" width="9.5703125" bestFit="1" customWidth="1"/>
    <col min="5" max="5" width="18.7109375" bestFit="1" customWidth="1"/>
    <col min="6" max="6" width="16" customWidth="1"/>
    <col min="7" max="7" width="18.140625" customWidth="1"/>
    <col min="8" max="8" width="10.140625" customWidth="1"/>
    <col min="9" max="9" width="15.85546875" customWidth="1"/>
    <col min="11" max="11" width="13.5703125" bestFit="1" customWidth="1"/>
    <col min="12" max="13" width="13.85546875" customWidth="1"/>
    <col min="14" max="16" width="14.140625" customWidth="1"/>
    <col min="17" max="17" width="16.5703125" customWidth="1"/>
    <col min="19" max="19" width="9.5703125" customWidth="1"/>
    <col min="20" max="20" width="20.5703125" customWidth="1"/>
    <col min="21" max="21" width="15.42578125" customWidth="1"/>
  </cols>
  <sheetData>
    <row r="1" spans="1:21" ht="21.75" customHeight="1" thickBot="1">
      <c r="A1" s="217" t="s">
        <v>54</v>
      </c>
      <c r="B1" s="204">
        <f ca="1">NOW()</f>
        <v>45909.460295138888</v>
      </c>
      <c r="C1" s="205" t="s">
        <v>55</v>
      </c>
      <c r="D1" s="205"/>
      <c r="E1" s="205" t="s">
        <v>56</v>
      </c>
      <c r="F1" s="205" t="s">
        <v>57</v>
      </c>
      <c r="G1" s="205" t="s">
        <v>58</v>
      </c>
      <c r="H1" s="209" t="s">
        <v>59</v>
      </c>
      <c r="I1" s="208">
        <f ca="1">B2-2</f>
        <v>35</v>
      </c>
    </row>
    <row r="2" spans="1:21" ht="24" customHeight="1" thickBot="1">
      <c r="A2" s="207" t="s">
        <v>60</v>
      </c>
      <c r="B2" s="205">
        <f ca="1">_xlfn.ISOWEEKNUM(B1)</f>
        <v>37</v>
      </c>
      <c r="C2" s="206">
        <f ca="1">B1-WEEKDAY(B1,2)+1</f>
        <v>45908.460295138888</v>
      </c>
      <c r="D2" s="206"/>
      <c r="E2" s="206">
        <f ca="1">C2-7</f>
        <v>45901.460295138888</v>
      </c>
      <c r="F2" s="206">
        <f ca="1">C2-28</f>
        <v>45880.460295138888</v>
      </c>
      <c r="G2" s="206">
        <f ca="1">C2-168</f>
        <v>45740.460295138888</v>
      </c>
      <c r="K2" s="524" t="s">
        <v>4</v>
      </c>
      <c r="L2" s="525"/>
      <c r="M2" s="526"/>
      <c r="O2" s="518" t="s">
        <v>7</v>
      </c>
      <c r="P2" s="519"/>
      <c r="Q2" s="520"/>
      <c r="S2" s="515" t="s">
        <v>61</v>
      </c>
      <c r="T2" s="516"/>
      <c r="U2" s="517"/>
    </row>
    <row r="3" spans="1:21" ht="29.25" customHeight="1" thickBot="1">
      <c r="A3" s="143" t="s">
        <v>0</v>
      </c>
      <c r="B3" s="144" t="s">
        <v>1</v>
      </c>
      <c r="C3" s="144" t="s">
        <v>62</v>
      </c>
      <c r="D3" s="144" t="s">
        <v>63</v>
      </c>
      <c r="E3" s="144" t="s">
        <v>64</v>
      </c>
      <c r="F3" s="145" t="s">
        <v>65</v>
      </c>
      <c r="G3" s="145" t="s">
        <v>66</v>
      </c>
      <c r="H3" s="144" t="s">
        <v>67</v>
      </c>
      <c r="I3" s="146" t="s">
        <v>68</v>
      </c>
      <c r="J3" s="144" t="s">
        <v>69</v>
      </c>
      <c r="K3" s="524" t="s">
        <v>70</v>
      </c>
      <c r="L3" s="525"/>
      <c r="M3" s="526"/>
      <c r="O3" s="518" t="s">
        <v>70</v>
      </c>
      <c r="P3" s="519"/>
      <c r="Q3" s="520"/>
      <c r="S3" s="527" t="s">
        <v>70</v>
      </c>
      <c r="T3" s="528"/>
      <c r="U3" s="529"/>
    </row>
    <row r="4" spans="1:21" ht="15.75" thickBot="1">
      <c r="A4" s="218" t="s">
        <v>4</v>
      </c>
      <c r="B4" s="6" t="str">
        <f>VLOOKUP(A4,Fleet[],2,FALSE)</f>
        <v>Intel</v>
      </c>
      <c r="C4" s="160">
        <v>45586</v>
      </c>
      <c r="D4" s="346">
        <f>YEAR(DATE(YEAR(Runhours_Table[[#This Row],[Date]]-WEEKDAY(Runhours_Table[[#This Row],[Date]]-1)+4),1,1)-MOD((DATE(YEAR(Runhours_Table[[#This Row],[Date]]-WEEKDAY(Runhours_Table[[#This Row],[Date]]-1)+4),1,1)-2),7)+(7*IF(MOD((DATE(YEAR(Runhours_Table[[#This Row],[Date]]-WEEKDAY(Runhours_Table[[#This Row],[Date]]-1)+4),1,1)-2),7)&gt;3,1,0))+7)</f>
        <v>2024</v>
      </c>
      <c r="E4" s="164">
        <f>_xlfn.ISOWEEKNUM(Runhours_Table[[#This Row],[Date]])</f>
        <v>43</v>
      </c>
      <c r="F4" s="160" t="str">
        <f>RIGHT(YEAR(Runhours_Table[[#This Row],[Date]]),2)&amp;TEXT(_xlfn.ISOWEEKNUM(Runhours_Table[[#This Row],[Date]]),"00")</f>
        <v>2443</v>
      </c>
      <c r="G4" s="38">
        <v>0</v>
      </c>
      <c r="H4" s="38">
        <v>0</v>
      </c>
      <c r="I4" s="38">
        <f ca="1">_xlfn.ISOWEEKNUM(Runhours_Table[[#This Row],[Date]])+52*(Runhours_Table[[#This Row],[Year]]-YEAR(DATE(YEAR(TODAY()-WEEKDAY(TODAY()-1)+4),1,1)-MOD((DATE(YEAR(TODAY()-WEEKDAY(TODAY()-1)+4),1,1)-2),7)+(7*IF(MOD((DATE(YEAR(TODAY()-WEEKDAY(TODAY()-1)+4),1,1)-2),7)&gt;3,1,0))+7) )-_xlfn.ISOWEEKNUM(NOW())</f>
        <v>-46</v>
      </c>
      <c r="J4" s="345"/>
      <c r="K4" s="521" t="s">
        <v>71</v>
      </c>
      <c r="L4" s="522"/>
      <c r="M4" s="523"/>
      <c r="O4" s="521" t="s">
        <v>71</v>
      </c>
      <c r="P4" s="522"/>
      <c r="Q4" s="523"/>
      <c r="S4" s="521" t="s">
        <v>71</v>
      </c>
      <c r="T4" s="522"/>
      <c r="U4" s="523"/>
    </row>
    <row r="5" spans="1:21" ht="15.75" thickBot="1">
      <c r="A5" s="218" t="s">
        <v>7</v>
      </c>
      <c r="B5" s="6" t="str">
        <f>VLOOKUP(A5,Fleet[],2,FALSE)</f>
        <v>Intel</v>
      </c>
      <c r="C5" s="160">
        <v>45586</v>
      </c>
      <c r="D5" s="346">
        <f>YEAR(DATE(YEAR(Runhours_Table[[#This Row],[Date]]-WEEKDAY(Runhours_Table[[#This Row],[Date]]-1)+4),1,1)-MOD((DATE(YEAR(Runhours_Table[[#This Row],[Date]]-WEEKDAY(Runhours_Table[[#This Row],[Date]]-1)+4),1,1)-2),7)+(7*IF(MOD((DATE(YEAR(Runhours_Table[[#This Row],[Date]]-WEEKDAY(Runhours_Table[[#This Row],[Date]]-1)+4),1,1)-2),7)&gt;3,1,0))+7)</f>
        <v>2024</v>
      </c>
      <c r="E5" s="164">
        <f>_xlfn.ISOWEEKNUM(Runhours_Table[[#This Row],[Date]])</f>
        <v>43</v>
      </c>
      <c r="F5" s="160" t="str">
        <f>RIGHT(YEAR(Runhours_Table[[#This Row],[Date]]),2)&amp;TEXT(_xlfn.ISOWEEKNUM(Runhours_Table[[#This Row],[Date]]),"00")</f>
        <v>2443</v>
      </c>
      <c r="G5" s="31">
        <v>0</v>
      </c>
      <c r="H5" s="31">
        <v>0</v>
      </c>
      <c r="I5" s="38">
        <f ca="1">_xlfn.ISOWEEKNUM(Runhours_Table[[#This Row],[Date]])+52*(Runhours_Table[[#This Row],[Year]]-YEAR(DATE(YEAR(TODAY()-WEEKDAY(TODAY()-1)+4),1,1)-MOD((DATE(YEAR(TODAY()-WEEKDAY(TODAY()-1)+4),1,1)-2),7)+(7*IF(MOD((DATE(YEAR(TODAY()-WEEKDAY(TODAY()-1)+4),1,1)-2),7)&gt;3,1,0))+7) )-_xlfn.ISOWEEKNUM(NOW())</f>
        <v>-46</v>
      </c>
      <c r="J5" s="345"/>
      <c r="K5" s="512" t="s">
        <v>72</v>
      </c>
      <c r="L5" s="59" t="s">
        <v>73</v>
      </c>
      <c r="M5" s="60">
        <f ca="1">SUMIFS(G:G,I:I,"&lt;=12",I:I,"&gt;0",A:A,"CR51")</f>
        <v>0</v>
      </c>
      <c r="O5" s="512" t="s">
        <v>72</v>
      </c>
      <c r="P5" s="59" t="s">
        <v>73</v>
      </c>
      <c r="Q5" s="60">
        <f ca="1">SUMIFS(G:G,I:I,"&lt;=12",A:A,"GY86")</f>
        <v>2055.1738959999989</v>
      </c>
      <c r="S5" s="512" t="s">
        <v>72</v>
      </c>
      <c r="T5" s="59" t="s">
        <v>73</v>
      </c>
      <c r="U5" s="60">
        <f t="shared" ref="U5:U22" ca="1" si="0">Q5+M5</f>
        <v>2055.1738959999989</v>
      </c>
    </row>
    <row r="6" spans="1:21">
      <c r="A6" s="218" t="s">
        <v>4</v>
      </c>
      <c r="B6" s="6" t="str">
        <f>VLOOKUP(A6,Fleet[],2,FALSE)</f>
        <v>Intel</v>
      </c>
      <c r="C6" s="160">
        <v>45587</v>
      </c>
      <c r="D6" s="346">
        <f>YEAR(DATE(YEAR(Runhours_Table[[#This Row],[Date]]-WEEKDAY(Runhours_Table[[#This Row],[Date]]-1)+4),1,1)-MOD((DATE(YEAR(Runhours_Table[[#This Row],[Date]]-WEEKDAY(Runhours_Table[[#This Row],[Date]]-1)+4),1,1)-2),7)+(7*IF(MOD((DATE(YEAR(Runhours_Table[[#This Row],[Date]]-WEEKDAY(Runhours_Table[[#This Row],[Date]]-1)+4),1,1)-2),7)&gt;3,1,0))+7)</f>
        <v>2024</v>
      </c>
      <c r="E6" s="164">
        <f>_xlfn.ISOWEEKNUM(Runhours_Table[[#This Row],[Date]])</f>
        <v>43</v>
      </c>
      <c r="F6" s="160" t="str">
        <f>RIGHT(YEAR(Runhours_Table[[#This Row],[Date]]),2)&amp;TEXT(_xlfn.ISOWEEKNUM(Runhours_Table[[#This Row],[Date]]),"00")</f>
        <v>2443</v>
      </c>
      <c r="G6" s="31">
        <v>0</v>
      </c>
      <c r="H6" s="31">
        <v>0</v>
      </c>
      <c r="I6" s="38">
        <f ca="1">_xlfn.ISOWEEKNUM(Runhours_Table[[#This Row],[Date]])+52*(Runhours_Table[[#This Row],[Year]]-YEAR(DATE(YEAR(TODAY()-WEEKDAY(TODAY()-1)+4),1,1)-MOD((DATE(YEAR(TODAY()-WEEKDAY(TODAY()-1)+4),1,1)-2),7)+(7*IF(MOD((DATE(YEAR(TODAY()-WEEKDAY(TODAY()-1)+4),1,1)-2),7)&gt;3,1,0))+7) )-_xlfn.ISOWEEKNUM(NOW())</f>
        <v>-46</v>
      </c>
      <c r="J6" s="345"/>
      <c r="K6" s="513"/>
      <c r="L6" s="4" t="s">
        <v>74</v>
      </c>
      <c r="M6" s="60">
        <f ca="1">SUMIFS(H:H,I:I,"&lt;=12",I:I,"&gt;0",A:A,"CR51")</f>
        <v>0</v>
      </c>
      <c r="O6" s="513"/>
      <c r="P6" s="4" t="s">
        <v>74</v>
      </c>
      <c r="Q6" s="60">
        <f ca="1">SUMIFS(H:H,I:I,"&lt;=12",I:I,"&gt;0",A:A,"GY86")</f>
        <v>0</v>
      </c>
      <c r="S6" s="513"/>
      <c r="T6" s="4" t="s">
        <v>74</v>
      </c>
      <c r="U6" s="61">
        <f t="shared" ca="1" si="0"/>
        <v>0</v>
      </c>
    </row>
    <row r="7" spans="1:21">
      <c r="A7" s="218" t="s">
        <v>7</v>
      </c>
      <c r="B7" s="6" t="str">
        <f>VLOOKUP(A7,Fleet[],2,FALSE)</f>
        <v>Intel</v>
      </c>
      <c r="C7" s="160">
        <v>45587</v>
      </c>
      <c r="D7" s="346">
        <f>YEAR(DATE(YEAR(Runhours_Table[[#This Row],[Date]]-WEEKDAY(Runhours_Table[[#This Row],[Date]]-1)+4),1,1)-MOD((DATE(YEAR(Runhours_Table[[#This Row],[Date]]-WEEKDAY(Runhours_Table[[#This Row],[Date]]-1)+4),1,1)-2),7)+(7*IF(MOD((DATE(YEAR(Runhours_Table[[#This Row],[Date]]-WEEKDAY(Runhours_Table[[#This Row],[Date]]-1)+4),1,1)-2),7)&gt;3,1,0))+7)</f>
        <v>2024</v>
      </c>
      <c r="E7" s="164">
        <f>_xlfn.ISOWEEKNUM(Runhours_Table[[#This Row],[Date]])</f>
        <v>43</v>
      </c>
      <c r="F7" s="160" t="str">
        <f>RIGHT(YEAR(Runhours_Table[[#This Row],[Date]]),2)&amp;TEXT(_xlfn.ISOWEEKNUM(Runhours_Table[[#This Row],[Date]]),"00")</f>
        <v>2443</v>
      </c>
      <c r="G7" s="31">
        <v>0</v>
      </c>
      <c r="H7" s="31">
        <v>0</v>
      </c>
      <c r="I7" s="38">
        <f ca="1">_xlfn.ISOWEEKNUM(Runhours_Table[[#This Row],[Date]])+52*(Runhours_Table[[#This Row],[Year]]-YEAR(DATE(YEAR(TODAY()-WEEKDAY(TODAY()-1)+4),1,1)-MOD((DATE(YEAR(TODAY()-WEEKDAY(TODAY()-1)+4),1,1)-2),7)+(7*IF(MOD((DATE(YEAR(TODAY()-WEEKDAY(TODAY()-1)+4),1,1)-2),7)&gt;3,1,0))+7) )-_xlfn.ISOWEEKNUM(NOW())</f>
        <v>-46</v>
      </c>
      <c r="J7" s="345"/>
      <c r="K7" s="513"/>
      <c r="L7" s="4" t="s">
        <v>75</v>
      </c>
      <c r="M7" s="62" t="e">
        <f>COUNTIFS(Error_Log!#REF!,"&lt;=12",Error_Log!#REF!,"&gt;=0",Error_Log!V:V,"Y",Error_Log!A:A,"CR51")</f>
        <v>#REF!</v>
      </c>
      <c r="O7" s="513"/>
      <c r="P7" s="4" t="s">
        <v>75</v>
      </c>
      <c r="Q7" s="62" t="e">
        <f>COUNTIFS(Error_Log!#REF!,"&lt;=12",Error_Log!#REF!,"&gt;=0",Error_Log!V:V,"Y",Error_Log!A:A,"GY86")</f>
        <v>#REF!</v>
      </c>
      <c r="S7" s="513"/>
      <c r="T7" s="4" t="s">
        <v>75</v>
      </c>
      <c r="U7" s="62" t="e">
        <f t="shared" si="0"/>
        <v>#REF!</v>
      </c>
    </row>
    <row r="8" spans="1:21">
      <c r="A8" s="218" t="s">
        <v>4</v>
      </c>
      <c r="B8" s="6" t="str">
        <f>VLOOKUP(A8,Fleet[],2,FALSE)</f>
        <v>Intel</v>
      </c>
      <c r="C8" s="160">
        <v>45588</v>
      </c>
      <c r="D8" s="346">
        <f>YEAR(DATE(YEAR(Runhours_Table[[#This Row],[Date]]-WEEKDAY(Runhours_Table[[#This Row],[Date]]-1)+4),1,1)-MOD((DATE(YEAR(Runhours_Table[[#This Row],[Date]]-WEEKDAY(Runhours_Table[[#This Row],[Date]]-1)+4),1,1)-2),7)+(7*IF(MOD((DATE(YEAR(Runhours_Table[[#This Row],[Date]]-WEEKDAY(Runhours_Table[[#This Row],[Date]]-1)+4),1,1)-2),7)&gt;3,1,0))+7)</f>
        <v>2024</v>
      </c>
      <c r="E8" s="164">
        <f>_xlfn.ISOWEEKNUM(Runhours_Table[[#This Row],[Date]])</f>
        <v>43</v>
      </c>
      <c r="F8" s="160" t="str">
        <f>RIGHT(YEAR(Runhours_Table[[#This Row],[Date]]),2)&amp;TEXT(_xlfn.ISOWEEKNUM(Runhours_Table[[#This Row],[Date]]),"00")</f>
        <v>2443</v>
      </c>
      <c r="G8" s="31">
        <v>0</v>
      </c>
      <c r="H8" s="31">
        <v>0</v>
      </c>
      <c r="I8" s="38">
        <f ca="1">_xlfn.ISOWEEKNUM(Runhours_Table[[#This Row],[Date]])+52*(Runhours_Table[[#This Row],[Year]]-YEAR(DATE(YEAR(TODAY()-WEEKDAY(TODAY()-1)+4),1,1)-MOD((DATE(YEAR(TODAY()-WEEKDAY(TODAY()-1)+4),1,1)-2),7)+(7*IF(MOD((DATE(YEAR(TODAY()-WEEKDAY(TODAY()-1)+4),1,1)-2),7)&gt;3,1,0))+7) )-_xlfn.ISOWEEKNUM(NOW())</f>
        <v>-46</v>
      </c>
      <c r="J8" s="345"/>
      <c r="K8" s="513"/>
      <c r="L8" s="4" t="s">
        <v>76</v>
      </c>
      <c r="M8" s="62" t="e">
        <f>COUNTIFS(Error_Log!#REF!,"&lt;=12",Error_Log!#REF!,"&gt;=0",Error_Log!W:W,"Y",Error_Log!A:A,"CR51")</f>
        <v>#REF!</v>
      </c>
      <c r="O8" s="513"/>
      <c r="P8" s="4" t="s">
        <v>76</v>
      </c>
      <c r="Q8" s="62" t="e">
        <f>COUNTIFS(Error_Log!#REF!,"&lt;=12",Error_Log!#REF!,"&gt;=0",Error_Log!W:W,"Y",Error_Log!A:A,"GY86")</f>
        <v>#REF!</v>
      </c>
      <c r="S8" s="513"/>
      <c r="T8" s="4" t="s">
        <v>76</v>
      </c>
      <c r="U8" s="62" t="e">
        <f t="shared" si="0"/>
        <v>#REF!</v>
      </c>
    </row>
    <row r="9" spans="1:21">
      <c r="A9" s="218" t="s">
        <v>7</v>
      </c>
      <c r="B9" s="6" t="str">
        <f>VLOOKUP(A9,Fleet[],2,FALSE)</f>
        <v>Intel</v>
      </c>
      <c r="C9" s="160">
        <v>45588</v>
      </c>
      <c r="D9" s="346">
        <f>YEAR(DATE(YEAR(Runhours_Table[[#This Row],[Date]]-WEEKDAY(Runhours_Table[[#This Row],[Date]]-1)+4),1,1)-MOD((DATE(YEAR(Runhours_Table[[#This Row],[Date]]-WEEKDAY(Runhours_Table[[#This Row],[Date]]-1)+4),1,1)-2),7)+(7*IF(MOD((DATE(YEAR(Runhours_Table[[#This Row],[Date]]-WEEKDAY(Runhours_Table[[#This Row],[Date]]-1)+4),1,1)-2),7)&gt;3,1,0))+7)</f>
        <v>2024</v>
      </c>
      <c r="E9" s="164">
        <f>_xlfn.ISOWEEKNUM(Runhours_Table[[#This Row],[Date]])</f>
        <v>43</v>
      </c>
      <c r="F9" s="160" t="str">
        <f>RIGHT(YEAR(Runhours_Table[[#This Row],[Date]]),2)&amp;TEXT(_xlfn.ISOWEEKNUM(Runhours_Table[[#This Row],[Date]]),"00")</f>
        <v>2443</v>
      </c>
      <c r="G9" s="31">
        <v>0</v>
      </c>
      <c r="H9" s="31">
        <v>0</v>
      </c>
      <c r="I9" s="38">
        <f ca="1">_xlfn.ISOWEEKNUM(Runhours_Table[[#This Row],[Date]])+52*(Runhours_Table[[#This Row],[Year]]-YEAR(DATE(YEAR(TODAY()-WEEKDAY(TODAY()-1)+4),1,1)-MOD((DATE(YEAR(TODAY()-WEEKDAY(TODAY()-1)+4),1,1)-2),7)+(7*IF(MOD((DATE(YEAR(TODAY()-WEEKDAY(TODAY()-1)+4),1,1)-2),7)&gt;3,1,0))+7) )-_xlfn.ISOWEEKNUM(NOW())</f>
        <v>-46</v>
      </c>
      <c r="J9" s="345"/>
      <c r="K9" s="513"/>
      <c r="L9" s="4" t="s">
        <v>77</v>
      </c>
      <c r="M9" s="61" t="e">
        <f ca="1">M5/M7</f>
        <v>#REF!</v>
      </c>
      <c r="O9" s="513"/>
      <c r="P9" s="4" t="s">
        <v>77</v>
      </c>
      <c r="Q9" s="61" t="e">
        <f ca="1">Q5/Q7</f>
        <v>#REF!</v>
      </c>
      <c r="S9" s="513"/>
      <c r="T9" s="4" t="s">
        <v>77</v>
      </c>
      <c r="U9" s="61" t="e">
        <f t="shared" ca="1" si="0"/>
        <v>#REF!</v>
      </c>
    </row>
    <row r="10" spans="1:21" ht="15.75" thickBot="1">
      <c r="A10" s="218" t="s">
        <v>4</v>
      </c>
      <c r="B10" s="6" t="str">
        <f>VLOOKUP(A10,Fleet[],2,FALSE)</f>
        <v>Intel</v>
      </c>
      <c r="C10" s="160">
        <v>45589</v>
      </c>
      <c r="D10" s="346">
        <f>YEAR(DATE(YEAR(Runhours_Table[[#This Row],[Date]]-WEEKDAY(Runhours_Table[[#This Row],[Date]]-1)+4),1,1)-MOD((DATE(YEAR(Runhours_Table[[#This Row],[Date]]-WEEKDAY(Runhours_Table[[#This Row],[Date]]-1)+4),1,1)-2),7)+(7*IF(MOD((DATE(YEAR(Runhours_Table[[#This Row],[Date]]-WEEKDAY(Runhours_Table[[#This Row],[Date]]-1)+4),1,1)-2),7)&gt;3,1,0))+7)</f>
        <v>2024</v>
      </c>
      <c r="E10" s="164">
        <f>_xlfn.ISOWEEKNUM(Runhours_Table[[#This Row],[Date]])</f>
        <v>43</v>
      </c>
      <c r="F10" s="160" t="str">
        <f>RIGHT(YEAR(Runhours_Table[[#This Row],[Date]]),2)&amp;TEXT(_xlfn.ISOWEEKNUM(Runhours_Table[[#This Row],[Date]]),"00")</f>
        <v>2443</v>
      </c>
      <c r="G10" s="31">
        <v>0</v>
      </c>
      <c r="H10" s="31">
        <v>0</v>
      </c>
      <c r="I10" s="38">
        <f ca="1">_xlfn.ISOWEEKNUM(Runhours_Table[[#This Row],[Date]])+52*(Runhours_Table[[#This Row],[Year]]-YEAR(DATE(YEAR(TODAY()-WEEKDAY(TODAY()-1)+4),1,1)-MOD((DATE(YEAR(TODAY()-WEEKDAY(TODAY()-1)+4),1,1)-2),7)+(7*IF(MOD((DATE(YEAR(TODAY()-WEEKDAY(TODAY()-1)+4),1,1)-2),7)&gt;3,1,0))+7) )-_xlfn.ISOWEEKNUM(NOW())</f>
        <v>-46</v>
      </c>
      <c r="J10" s="345"/>
      <c r="K10" s="514"/>
      <c r="L10" s="63" t="s">
        <v>78</v>
      </c>
      <c r="M10" s="64" t="e">
        <f ca="1">M6/M8</f>
        <v>#REF!</v>
      </c>
      <c r="O10" s="514"/>
      <c r="P10" s="63" t="s">
        <v>78</v>
      </c>
      <c r="Q10" s="64" t="e">
        <f ca="1">Q6/Q8</f>
        <v>#REF!</v>
      </c>
      <c r="S10" s="514"/>
      <c r="T10" s="63" t="s">
        <v>78</v>
      </c>
      <c r="U10" s="61" t="e">
        <f t="shared" ca="1" si="0"/>
        <v>#REF!</v>
      </c>
    </row>
    <row r="11" spans="1:21" ht="15.75" thickBot="1">
      <c r="A11" s="218" t="s">
        <v>7</v>
      </c>
      <c r="B11" s="6" t="str">
        <f>VLOOKUP(A11,Fleet[],2,FALSE)</f>
        <v>Intel</v>
      </c>
      <c r="C11" s="160">
        <v>45589</v>
      </c>
      <c r="D11" s="346">
        <f>YEAR(DATE(YEAR(Runhours_Table[[#This Row],[Date]]-WEEKDAY(Runhours_Table[[#This Row],[Date]]-1)+4),1,1)-MOD((DATE(YEAR(Runhours_Table[[#This Row],[Date]]-WEEKDAY(Runhours_Table[[#This Row],[Date]]-1)+4),1,1)-2),7)+(7*IF(MOD((DATE(YEAR(Runhours_Table[[#This Row],[Date]]-WEEKDAY(Runhours_Table[[#This Row],[Date]]-1)+4),1,1)-2),7)&gt;3,1,0))+7)</f>
        <v>2024</v>
      </c>
      <c r="E11" s="164">
        <f>_xlfn.ISOWEEKNUM(Runhours_Table[[#This Row],[Date]])</f>
        <v>43</v>
      </c>
      <c r="F11" s="160" t="str">
        <f>RIGHT(YEAR(Runhours_Table[[#This Row],[Date]]),2)&amp;TEXT(_xlfn.ISOWEEKNUM(Runhours_Table[[#This Row],[Date]]),"00")</f>
        <v>2443</v>
      </c>
      <c r="G11" s="31">
        <v>0</v>
      </c>
      <c r="H11" s="31">
        <v>0</v>
      </c>
      <c r="I11" s="38">
        <f ca="1">_xlfn.ISOWEEKNUM(Runhours_Table[[#This Row],[Date]])+52*(Runhours_Table[[#This Row],[Year]]-YEAR(DATE(YEAR(TODAY()-WEEKDAY(TODAY()-1)+4),1,1)-MOD((DATE(YEAR(TODAY()-WEEKDAY(TODAY()-1)+4),1,1)-2),7)+(7*IF(MOD((DATE(YEAR(TODAY()-WEEKDAY(TODAY()-1)+4),1,1)-2),7)&gt;3,1,0))+7) )-_xlfn.ISOWEEKNUM(NOW())</f>
        <v>-46</v>
      </c>
      <c r="J11" s="345"/>
      <c r="K11" s="512" t="s">
        <v>79</v>
      </c>
      <c r="L11" s="59" t="s">
        <v>73</v>
      </c>
      <c r="M11" s="60">
        <f ca="1">SUMIFS(G:G,I:I,"&lt;=4",A:A,"CR51")</f>
        <v>1748.6991680000003</v>
      </c>
      <c r="O11" s="512" t="s">
        <v>79</v>
      </c>
      <c r="P11" s="59" t="s">
        <v>73</v>
      </c>
      <c r="Q11" s="60">
        <f ca="1">SUMIFS(G:G,I:I,"&lt;=13",A:A,"GY86")</f>
        <v>2055.1738959999989</v>
      </c>
      <c r="S11" s="512" t="s">
        <v>79</v>
      </c>
      <c r="T11" s="59" t="s">
        <v>73</v>
      </c>
      <c r="U11" s="60">
        <f t="shared" ca="1" si="0"/>
        <v>3803.8730639999994</v>
      </c>
    </row>
    <row r="12" spans="1:21">
      <c r="A12" s="218" t="s">
        <v>4</v>
      </c>
      <c r="B12" s="6" t="str">
        <f>VLOOKUP(A12,Fleet[],2,FALSE)</f>
        <v>Intel</v>
      </c>
      <c r="C12" s="160">
        <v>45590</v>
      </c>
      <c r="D12" s="346">
        <f>YEAR(DATE(YEAR(Runhours_Table[[#This Row],[Date]]-WEEKDAY(Runhours_Table[[#This Row],[Date]]-1)+4),1,1)-MOD((DATE(YEAR(Runhours_Table[[#This Row],[Date]]-WEEKDAY(Runhours_Table[[#This Row],[Date]]-1)+4),1,1)-2),7)+(7*IF(MOD((DATE(YEAR(Runhours_Table[[#This Row],[Date]]-WEEKDAY(Runhours_Table[[#This Row],[Date]]-1)+4),1,1)-2),7)&gt;3,1,0))+7)</f>
        <v>2024</v>
      </c>
      <c r="E12" s="164">
        <f>_xlfn.ISOWEEKNUM(Runhours_Table[[#This Row],[Date]])</f>
        <v>43</v>
      </c>
      <c r="F12" s="160" t="str">
        <f>RIGHT(YEAR(Runhours_Table[[#This Row],[Date]]),2)&amp;TEXT(_xlfn.ISOWEEKNUM(Runhours_Table[[#This Row],[Date]]),"00")</f>
        <v>2443</v>
      </c>
      <c r="G12" s="31">
        <v>0</v>
      </c>
      <c r="H12" s="31">
        <v>0</v>
      </c>
      <c r="I12" s="38">
        <f ca="1">_xlfn.ISOWEEKNUM(Runhours_Table[[#This Row],[Date]])+52*(Runhours_Table[[#This Row],[Year]]-YEAR(DATE(YEAR(TODAY()-WEEKDAY(TODAY()-1)+4),1,1)-MOD((DATE(YEAR(TODAY()-WEEKDAY(TODAY()-1)+4),1,1)-2),7)+(7*IF(MOD((DATE(YEAR(TODAY()-WEEKDAY(TODAY()-1)+4),1,1)-2),7)&gt;3,1,0))+7) )-_xlfn.ISOWEEKNUM(NOW())</f>
        <v>-46</v>
      </c>
      <c r="J12" s="345"/>
      <c r="K12" s="513"/>
      <c r="L12" s="4" t="s">
        <v>74</v>
      </c>
      <c r="M12" s="60">
        <f ca="1">SUMIFS(H:H,I:I,"&lt;=4",A:A,"CR51")</f>
        <v>3349.7019370000007</v>
      </c>
      <c r="O12" s="513"/>
      <c r="P12" s="4" t="s">
        <v>74</v>
      </c>
      <c r="Q12" s="61">
        <f ca="1">SUMIFS(H:H,I:I,"&lt;=4",I:I,"&gt;=0",A:A,"GY86")</f>
        <v>0</v>
      </c>
      <c r="S12" s="513"/>
      <c r="T12" s="4" t="s">
        <v>74</v>
      </c>
      <c r="U12" s="61">
        <f t="shared" ca="1" si="0"/>
        <v>3349.7019370000007</v>
      </c>
    </row>
    <row r="13" spans="1:21">
      <c r="A13" s="218" t="s">
        <v>7</v>
      </c>
      <c r="B13" s="6" t="str">
        <f>VLOOKUP(A13,Fleet[],2,FALSE)</f>
        <v>Intel</v>
      </c>
      <c r="C13" s="160">
        <v>45590</v>
      </c>
      <c r="D13" s="346">
        <f>YEAR(DATE(YEAR(Runhours_Table[[#This Row],[Date]]-WEEKDAY(Runhours_Table[[#This Row],[Date]]-1)+4),1,1)-MOD((DATE(YEAR(Runhours_Table[[#This Row],[Date]]-WEEKDAY(Runhours_Table[[#This Row],[Date]]-1)+4),1,1)-2),7)+(7*IF(MOD((DATE(YEAR(Runhours_Table[[#This Row],[Date]]-WEEKDAY(Runhours_Table[[#This Row],[Date]]-1)+4),1,1)-2),7)&gt;3,1,0))+7)</f>
        <v>2024</v>
      </c>
      <c r="E13" s="164">
        <f>_xlfn.ISOWEEKNUM(Runhours_Table[[#This Row],[Date]])</f>
        <v>43</v>
      </c>
      <c r="F13" s="160" t="str">
        <f>RIGHT(YEAR(Runhours_Table[[#This Row],[Date]]),2)&amp;TEXT(_xlfn.ISOWEEKNUM(Runhours_Table[[#This Row],[Date]]),"00")</f>
        <v>2443</v>
      </c>
      <c r="G13" s="31">
        <v>0</v>
      </c>
      <c r="H13" s="31">
        <v>0</v>
      </c>
      <c r="I13" s="38">
        <f ca="1">_xlfn.ISOWEEKNUM(Runhours_Table[[#This Row],[Date]])+52*(Runhours_Table[[#This Row],[Year]]-YEAR(DATE(YEAR(TODAY()-WEEKDAY(TODAY()-1)+4),1,1)-MOD((DATE(YEAR(TODAY()-WEEKDAY(TODAY()-1)+4),1,1)-2),7)+(7*IF(MOD((DATE(YEAR(TODAY()-WEEKDAY(TODAY()-1)+4),1,1)-2),7)&gt;3,1,0))+7) )-_xlfn.ISOWEEKNUM(NOW())</f>
        <v>-46</v>
      </c>
      <c r="J13" s="345"/>
      <c r="K13" s="513"/>
      <c r="L13" s="4" t="s">
        <v>75</v>
      </c>
      <c r="M13" s="62" t="e">
        <f>COUNTIFS(Error_Log!#REF!,"&lt;=3",Error_Log!#REF!,"&gt;=0",Error_Log!V:V,"Y",Error_Log!A:A,"CR51")</f>
        <v>#REF!</v>
      </c>
      <c r="O13" s="513"/>
      <c r="P13" s="4" t="s">
        <v>75</v>
      </c>
      <c r="Q13" s="62" t="e">
        <f>COUNTIFS(Error_Log!#REF!,"&lt;=4",Error_Log!#REF!,"&gt;=0",Error_Log!V:V,"Y",Error_Log!A:A,"GY86")</f>
        <v>#REF!</v>
      </c>
      <c r="S13" s="513"/>
      <c r="T13" s="4" t="s">
        <v>75</v>
      </c>
      <c r="U13" s="62" t="e">
        <f t="shared" si="0"/>
        <v>#REF!</v>
      </c>
    </row>
    <row r="14" spans="1:21">
      <c r="A14" s="218" t="s">
        <v>4</v>
      </c>
      <c r="B14" s="6" t="str">
        <f>VLOOKUP(A14,Fleet[],2,FALSE)</f>
        <v>Intel</v>
      </c>
      <c r="C14" s="160">
        <v>45591</v>
      </c>
      <c r="D14" s="346">
        <f>YEAR(DATE(YEAR(Runhours_Table[[#This Row],[Date]]-WEEKDAY(Runhours_Table[[#This Row],[Date]]-1)+4),1,1)-MOD((DATE(YEAR(Runhours_Table[[#This Row],[Date]]-WEEKDAY(Runhours_Table[[#This Row],[Date]]-1)+4),1,1)-2),7)+(7*IF(MOD((DATE(YEAR(Runhours_Table[[#This Row],[Date]]-WEEKDAY(Runhours_Table[[#This Row],[Date]]-1)+4),1,1)-2),7)&gt;3,1,0))+7)</f>
        <v>2024</v>
      </c>
      <c r="E14" s="164">
        <f>_xlfn.ISOWEEKNUM(Runhours_Table[[#This Row],[Date]])</f>
        <v>43</v>
      </c>
      <c r="F14" s="160" t="str">
        <f>RIGHT(YEAR(Runhours_Table[[#This Row],[Date]]),2)&amp;TEXT(_xlfn.ISOWEEKNUM(Runhours_Table[[#This Row],[Date]]),"00")</f>
        <v>2443</v>
      </c>
      <c r="G14" s="31">
        <v>0</v>
      </c>
      <c r="H14" s="31">
        <v>0</v>
      </c>
      <c r="I14" s="38">
        <f ca="1">_xlfn.ISOWEEKNUM(Runhours_Table[[#This Row],[Date]])+52*(Runhours_Table[[#This Row],[Year]]-YEAR(DATE(YEAR(TODAY()-WEEKDAY(TODAY()-1)+4),1,1)-MOD((DATE(YEAR(TODAY()-WEEKDAY(TODAY()-1)+4),1,1)-2),7)+(7*IF(MOD((DATE(YEAR(TODAY()-WEEKDAY(TODAY()-1)+4),1,1)-2),7)&gt;3,1,0))+7) )-_xlfn.ISOWEEKNUM(NOW())</f>
        <v>-46</v>
      </c>
      <c r="J14" s="345"/>
      <c r="K14" s="513"/>
      <c r="L14" s="4" t="s">
        <v>76</v>
      </c>
      <c r="M14" s="62" t="e">
        <f>COUNTIFS(Error_Log!#REF!,"&lt;=3",Error_Log!#REF!,"&gt;=0",Error_Log!W:W,"Y",Error_Log!A:A,"CR51")</f>
        <v>#REF!</v>
      </c>
      <c r="O14" s="513"/>
      <c r="P14" s="4" t="s">
        <v>76</v>
      </c>
      <c r="Q14" s="62" t="e">
        <f>COUNTIFS(Error_Log!#REF!,"&lt;=4",Error_Log!#REF!,"&gt;=0",Error_Log!W:W,"Y",Error_Log!A:A,"GY86")</f>
        <v>#REF!</v>
      </c>
      <c r="S14" s="513"/>
      <c r="T14" s="4" t="s">
        <v>76</v>
      </c>
      <c r="U14" s="62" t="e">
        <f t="shared" si="0"/>
        <v>#REF!</v>
      </c>
    </row>
    <row r="15" spans="1:21">
      <c r="A15" s="218" t="s">
        <v>7</v>
      </c>
      <c r="B15" s="6" t="str">
        <f>VLOOKUP(A15,Fleet[],2,FALSE)</f>
        <v>Intel</v>
      </c>
      <c r="C15" s="160">
        <v>45591</v>
      </c>
      <c r="D15" s="346">
        <f>YEAR(DATE(YEAR(Runhours_Table[[#This Row],[Date]]-WEEKDAY(Runhours_Table[[#This Row],[Date]]-1)+4),1,1)-MOD((DATE(YEAR(Runhours_Table[[#This Row],[Date]]-WEEKDAY(Runhours_Table[[#This Row],[Date]]-1)+4),1,1)-2),7)+(7*IF(MOD((DATE(YEAR(Runhours_Table[[#This Row],[Date]]-WEEKDAY(Runhours_Table[[#This Row],[Date]]-1)+4),1,1)-2),7)&gt;3,1,0))+7)</f>
        <v>2024</v>
      </c>
      <c r="E15" s="164">
        <f>_xlfn.ISOWEEKNUM(Runhours_Table[[#This Row],[Date]])</f>
        <v>43</v>
      </c>
      <c r="F15" s="160" t="str">
        <f>RIGHT(YEAR(Runhours_Table[[#This Row],[Date]]),2)&amp;TEXT(_xlfn.ISOWEEKNUM(Runhours_Table[[#This Row],[Date]]),"00")</f>
        <v>2443</v>
      </c>
      <c r="G15" s="31">
        <v>0</v>
      </c>
      <c r="H15" s="31">
        <v>0</v>
      </c>
      <c r="I15" s="38">
        <f ca="1">_xlfn.ISOWEEKNUM(Runhours_Table[[#This Row],[Date]])+52*(Runhours_Table[[#This Row],[Year]]-YEAR(DATE(YEAR(TODAY()-WEEKDAY(TODAY()-1)+4),1,1)-MOD((DATE(YEAR(TODAY()-WEEKDAY(TODAY()-1)+4),1,1)-2),7)+(7*IF(MOD((DATE(YEAR(TODAY()-WEEKDAY(TODAY()-1)+4),1,1)-2),7)&gt;3,1,0))+7) )-_xlfn.ISOWEEKNUM(NOW())</f>
        <v>-46</v>
      </c>
      <c r="J15" s="345"/>
      <c r="K15" s="513"/>
      <c r="L15" s="4" t="s">
        <v>77</v>
      </c>
      <c r="M15" s="61" t="e">
        <f ca="1">M11/M13</f>
        <v>#REF!</v>
      </c>
      <c r="O15" s="513"/>
      <c r="P15" s="4" t="s">
        <v>77</v>
      </c>
      <c r="Q15" s="61" t="e">
        <f ca="1">Q11/Q13</f>
        <v>#REF!</v>
      </c>
      <c r="S15" s="513"/>
      <c r="T15" s="4" t="s">
        <v>77</v>
      </c>
      <c r="U15" s="61" t="e">
        <f t="shared" ca="1" si="0"/>
        <v>#REF!</v>
      </c>
    </row>
    <row r="16" spans="1:21" ht="15.75" thickBot="1">
      <c r="A16" s="218" t="s">
        <v>4</v>
      </c>
      <c r="B16" s="6" t="str">
        <f>VLOOKUP(A16,Fleet[],2,FALSE)</f>
        <v>Intel</v>
      </c>
      <c r="C16" s="160">
        <v>45592</v>
      </c>
      <c r="D16" s="346">
        <f>YEAR(DATE(YEAR(Runhours_Table[[#This Row],[Date]]-WEEKDAY(Runhours_Table[[#This Row],[Date]]-1)+4),1,1)-MOD((DATE(YEAR(Runhours_Table[[#This Row],[Date]]-WEEKDAY(Runhours_Table[[#This Row],[Date]]-1)+4),1,1)-2),7)+(7*IF(MOD((DATE(YEAR(Runhours_Table[[#This Row],[Date]]-WEEKDAY(Runhours_Table[[#This Row],[Date]]-1)+4),1,1)-2),7)&gt;3,1,0))+7)</f>
        <v>2024</v>
      </c>
      <c r="E16" s="164">
        <f>_xlfn.ISOWEEKNUM(Runhours_Table[[#This Row],[Date]])</f>
        <v>43</v>
      </c>
      <c r="F16" s="160" t="str">
        <f>RIGHT(YEAR(Runhours_Table[[#This Row],[Date]]),2)&amp;TEXT(_xlfn.ISOWEEKNUM(Runhours_Table[[#This Row],[Date]]),"00")</f>
        <v>2443</v>
      </c>
      <c r="G16" s="31">
        <v>0</v>
      </c>
      <c r="H16" s="31">
        <v>0</v>
      </c>
      <c r="I16" s="38">
        <f ca="1">_xlfn.ISOWEEKNUM(Runhours_Table[[#This Row],[Date]])+52*(Runhours_Table[[#This Row],[Year]]-YEAR(DATE(YEAR(TODAY()-WEEKDAY(TODAY()-1)+4),1,1)-MOD((DATE(YEAR(TODAY()-WEEKDAY(TODAY()-1)+4),1,1)-2),7)+(7*IF(MOD((DATE(YEAR(TODAY()-WEEKDAY(TODAY()-1)+4),1,1)-2),7)&gt;3,1,0))+7) )-_xlfn.ISOWEEKNUM(NOW())</f>
        <v>-46</v>
      </c>
      <c r="J16" s="345"/>
      <c r="K16" s="514"/>
      <c r="L16" s="63" t="s">
        <v>78</v>
      </c>
      <c r="M16" s="64" t="e">
        <f ca="1">M12/M14</f>
        <v>#REF!</v>
      </c>
      <c r="O16" s="514"/>
      <c r="P16" s="63" t="s">
        <v>78</v>
      </c>
      <c r="Q16" s="64" t="e">
        <f ca="1">Q12/Q14</f>
        <v>#REF!</v>
      </c>
      <c r="S16" s="514"/>
      <c r="T16" s="63" t="s">
        <v>78</v>
      </c>
      <c r="U16" s="61" t="e">
        <f t="shared" ca="1" si="0"/>
        <v>#REF!</v>
      </c>
    </row>
    <row r="17" spans="1:21" ht="15.75" thickBot="1">
      <c r="A17" s="218" t="s">
        <v>7</v>
      </c>
      <c r="B17" s="6" t="str">
        <f>VLOOKUP(A17,Fleet[],2,FALSE)</f>
        <v>Intel</v>
      </c>
      <c r="C17" s="160">
        <v>45592</v>
      </c>
      <c r="D17" s="346">
        <f>YEAR(DATE(YEAR(Runhours_Table[[#This Row],[Date]]-WEEKDAY(Runhours_Table[[#This Row],[Date]]-1)+4),1,1)-MOD((DATE(YEAR(Runhours_Table[[#This Row],[Date]]-WEEKDAY(Runhours_Table[[#This Row],[Date]]-1)+4),1,1)-2),7)+(7*IF(MOD((DATE(YEAR(Runhours_Table[[#This Row],[Date]]-WEEKDAY(Runhours_Table[[#This Row],[Date]]-1)+4),1,1)-2),7)&gt;3,1,0))+7)</f>
        <v>2024</v>
      </c>
      <c r="E17" s="164">
        <f>_xlfn.ISOWEEKNUM(Runhours_Table[[#This Row],[Date]])</f>
        <v>43</v>
      </c>
      <c r="F17" s="160" t="str">
        <f>RIGHT(YEAR(Runhours_Table[[#This Row],[Date]]),2)&amp;TEXT(_xlfn.ISOWEEKNUM(Runhours_Table[[#This Row],[Date]]),"00")</f>
        <v>2443</v>
      </c>
      <c r="G17" s="31">
        <v>0</v>
      </c>
      <c r="H17" s="31">
        <v>0</v>
      </c>
      <c r="I17" s="38">
        <f ca="1">_xlfn.ISOWEEKNUM(Runhours_Table[[#This Row],[Date]])+52*(Runhours_Table[[#This Row],[Year]]-YEAR(DATE(YEAR(TODAY()-WEEKDAY(TODAY()-1)+4),1,1)-MOD((DATE(YEAR(TODAY()-WEEKDAY(TODAY()-1)+4),1,1)-2),7)+(7*IF(MOD((DATE(YEAR(TODAY()-WEEKDAY(TODAY()-1)+4),1,1)-2),7)&gt;3,1,0))+7) )-_xlfn.ISOWEEKNUM(NOW())</f>
        <v>-46</v>
      </c>
      <c r="J17" s="345"/>
      <c r="K17" s="512" t="s">
        <v>80</v>
      </c>
      <c r="L17" s="59" t="s">
        <v>73</v>
      </c>
      <c r="M17" s="60">
        <f ca="1">SUMIFS(G:G,I:I,"&lt;=1",A:A,"CR51")</f>
        <v>1748.6991680000003</v>
      </c>
      <c r="O17" s="512" t="s">
        <v>80</v>
      </c>
      <c r="P17" s="59" t="s">
        <v>73</v>
      </c>
      <c r="Q17" s="60">
        <f ca="1">SUMIFS(G:G,I:I,"&lt;=1",A:A,"GY86")</f>
        <v>2055.1738959999989</v>
      </c>
      <c r="S17" s="512" t="s">
        <v>80</v>
      </c>
      <c r="T17" s="59" t="s">
        <v>73</v>
      </c>
      <c r="U17" s="60">
        <f t="shared" ca="1" si="0"/>
        <v>3803.8730639999994</v>
      </c>
    </row>
    <row r="18" spans="1:21">
      <c r="A18" s="218" t="s">
        <v>4</v>
      </c>
      <c r="B18" s="6" t="str">
        <f>VLOOKUP(A18,Fleet[],2,FALSE)</f>
        <v>Intel</v>
      </c>
      <c r="C18" s="160">
        <v>45593</v>
      </c>
      <c r="D18" s="346">
        <f>YEAR(DATE(YEAR(Runhours_Table[[#This Row],[Date]]-WEEKDAY(Runhours_Table[[#This Row],[Date]]-1)+4),1,1)-MOD((DATE(YEAR(Runhours_Table[[#This Row],[Date]]-WEEKDAY(Runhours_Table[[#This Row],[Date]]-1)+4),1,1)-2),7)+(7*IF(MOD((DATE(YEAR(Runhours_Table[[#This Row],[Date]]-WEEKDAY(Runhours_Table[[#This Row],[Date]]-1)+4),1,1)-2),7)&gt;3,1,0))+7)</f>
        <v>2024</v>
      </c>
      <c r="E18" s="164">
        <f>_xlfn.ISOWEEKNUM(Runhours_Table[[#This Row],[Date]])</f>
        <v>44</v>
      </c>
      <c r="F18" s="160" t="str">
        <f>RIGHT(YEAR(Runhours_Table[[#This Row],[Date]]),2)&amp;TEXT(_xlfn.ISOWEEKNUM(Runhours_Table[[#This Row],[Date]]),"00")</f>
        <v>2444</v>
      </c>
      <c r="G18" s="31">
        <v>0</v>
      </c>
      <c r="H18" s="31">
        <v>0</v>
      </c>
      <c r="I18" s="38">
        <f ca="1">_xlfn.ISOWEEKNUM(Runhours_Table[[#This Row],[Date]])+52*(Runhours_Table[[#This Row],[Year]]-YEAR(DATE(YEAR(TODAY()-WEEKDAY(TODAY()-1)+4),1,1)-MOD((DATE(YEAR(TODAY()-WEEKDAY(TODAY()-1)+4),1,1)-2),7)+(7*IF(MOD((DATE(YEAR(TODAY()-WEEKDAY(TODAY()-1)+4),1,1)-2),7)&gt;3,1,0))+7) )-_xlfn.ISOWEEKNUM(NOW())</f>
        <v>-45</v>
      </c>
      <c r="J18" s="345"/>
      <c r="K18" s="513"/>
      <c r="L18" s="4" t="s">
        <v>74</v>
      </c>
      <c r="M18" s="60">
        <f ca="1">SUMIFS(H:H,I:I,"&lt;=1",I:I,"&gt;0",A:A,"CR51")</f>
        <v>0</v>
      </c>
      <c r="O18" s="513"/>
      <c r="P18" s="4" t="s">
        <v>74</v>
      </c>
      <c r="Q18" s="61">
        <f ca="1">SUMIFS(H:H,I:I,"&lt;=1",I:I,"&gt;=0",A:A,"GY86")</f>
        <v>0</v>
      </c>
      <c r="S18" s="513"/>
      <c r="T18" s="4" t="s">
        <v>74</v>
      </c>
      <c r="U18" s="61">
        <f t="shared" ca="1" si="0"/>
        <v>0</v>
      </c>
    </row>
    <row r="19" spans="1:21">
      <c r="A19" s="218" t="s">
        <v>7</v>
      </c>
      <c r="B19" s="6" t="str">
        <f>VLOOKUP(A19,Fleet[],2,FALSE)</f>
        <v>Intel</v>
      </c>
      <c r="C19" s="160">
        <v>45593</v>
      </c>
      <c r="D19" s="346">
        <f>YEAR(DATE(YEAR(Runhours_Table[[#This Row],[Date]]-WEEKDAY(Runhours_Table[[#This Row],[Date]]-1)+4),1,1)-MOD((DATE(YEAR(Runhours_Table[[#This Row],[Date]]-WEEKDAY(Runhours_Table[[#This Row],[Date]]-1)+4),1,1)-2),7)+(7*IF(MOD((DATE(YEAR(Runhours_Table[[#This Row],[Date]]-WEEKDAY(Runhours_Table[[#This Row],[Date]]-1)+4),1,1)-2),7)&gt;3,1,0))+7)</f>
        <v>2024</v>
      </c>
      <c r="E19" s="164">
        <f>_xlfn.ISOWEEKNUM(Runhours_Table[[#This Row],[Date]])</f>
        <v>44</v>
      </c>
      <c r="F19" s="160" t="str">
        <f>RIGHT(YEAR(Runhours_Table[[#This Row],[Date]]),2)&amp;TEXT(_xlfn.ISOWEEKNUM(Runhours_Table[[#This Row],[Date]]),"00")</f>
        <v>2444</v>
      </c>
      <c r="G19" s="31">
        <v>0</v>
      </c>
      <c r="H19" s="31">
        <v>0</v>
      </c>
      <c r="I19" s="38">
        <f ca="1">_xlfn.ISOWEEKNUM(Runhours_Table[[#This Row],[Date]])+52*(Runhours_Table[[#This Row],[Year]]-YEAR(DATE(YEAR(TODAY()-WEEKDAY(TODAY()-1)+4),1,1)-MOD((DATE(YEAR(TODAY()-WEEKDAY(TODAY()-1)+4),1,1)-2),7)+(7*IF(MOD((DATE(YEAR(TODAY()-WEEKDAY(TODAY()-1)+4),1,1)-2),7)&gt;3,1,0))+7) )-_xlfn.ISOWEEKNUM(NOW())</f>
        <v>-45</v>
      </c>
      <c r="J19" s="345"/>
      <c r="K19" s="513"/>
      <c r="L19" s="4" t="s">
        <v>75</v>
      </c>
      <c r="M19" s="62" t="e">
        <f>COUNTIFS(Error_Log!#REF!,"&lt;=1",Error_Log!#REF!,"&gt;=0",Error_Log!V:V,"Y",Error_Log!A:A,"CR51")</f>
        <v>#REF!</v>
      </c>
      <c r="O19" s="513"/>
      <c r="P19" s="4" t="s">
        <v>75</v>
      </c>
      <c r="Q19" s="62" t="e">
        <f>COUNTIFS(Error_Log!#REF!,"&lt;=1",Error_Log!#REF!,"&gt;=0",Error_Log!V:V,"Y",Error_Log!A:A,"GY86")</f>
        <v>#REF!</v>
      </c>
      <c r="S19" s="513"/>
      <c r="T19" s="4" t="s">
        <v>75</v>
      </c>
      <c r="U19" s="62" t="e">
        <f t="shared" si="0"/>
        <v>#REF!</v>
      </c>
    </row>
    <row r="20" spans="1:21">
      <c r="A20" s="218" t="s">
        <v>4</v>
      </c>
      <c r="B20" s="6" t="str">
        <f>VLOOKUP(A20,Fleet[],2,FALSE)</f>
        <v>Intel</v>
      </c>
      <c r="C20" s="160">
        <v>45594</v>
      </c>
      <c r="D20" s="346">
        <f>YEAR(DATE(YEAR(Runhours_Table[[#This Row],[Date]]-WEEKDAY(Runhours_Table[[#This Row],[Date]]-1)+4),1,1)-MOD((DATE(YEAR(Runhours_Table[[#This Row],[Date]]-WEEKDAY(Runhours_Table[[#This Row],[Date]]-1)+4),1,1)-2),7)+(7*IF(MOD((DATE(YEAR(Runhours_Table[[#This Row],[Date]]-WEEKDAY(Runhours_Table[[#This Row],[Date]]-1)+4),1,1)-2),7)&gt;3,1,0))+7)</f>
        <v>2024</v>
      </c>
      <c r="E20" s="164">
        <f>_xlfn.ISOWEEKNUM(Runhours_Table[[#This Row],[Date]])</f>
        <v>44</v>
      </c>
      <c r="F20" s="160" t="str">
        <f>RIGHT(YEAR(Runhours_Table[[#This Row],[Date]]),2)&amp;TEXT(_xlfn.ISOWEEKNUM(Runhours_Table[[#This Row],[Date]]),"00")</f>
        <v>2444</v>
      </c>
      <c r="G20" s="31">
        <v>0</v>
      </c>
      <c r="H20" s="31">
        <v>0</v>
      </c>
      <c r="I20" s="38">
        <f ca="1">_xlfn.ISOWEEKNUM(Runhours_Table[[#This Row],[Date]])+52*(Runhours_Table[[#This Row],[Year]]-YEAR(DATE(YEAR(TODAY()-WEEKDAY(TODAY()-1)+4),1,1)-MOD((DATE(YEAR(TODAY()-WEEKDAY(TODAY()-1)+4),1,1)-2),7)+(7*IF(MOD((DATE(YEAR(TODAY()-WEEKDAY(TODAY()-1)+4),1,1)-2),7)&gt;3,1,0))+7) )-_xlfn.ISOWEEKNUM(NOW())</f>
        <v>-45</v>
      </c>
      <c r="J20" s="345"/>
      <c r="K20" s="513"/>
      <c r="L20" s="4" t="s">
        <v>76</v>
      </c>
      <c r="M20" s="62" t="e">
        <f>COUNTIFS(Error_Log!#REF!,"&lt;=1",Error_Log!#REF!,"&gt;=0",Error_Log!W:W,"Y",Error_Log!A:A,"CR51")</f>
        <v>#REF!</v>
      </c>
      <c r="O20" s="513"/>
      <c r="P20" s="4" t="s">
        <v>76</v>
      </c>
      <c r="Q20" s="62" t="e">
        <f>COUNTIFS(Error_Log!#REF!,"&lt;=1",Error_Log!#REF!,"&gt;=0",Error_Log!W:W,"Y",Error_Log!A:A,"GY86")</f>
        <v>#REF!</v>
      </c>
      <c r="S20" s="513"/>
      <c r="T20" s="4" t="s">
        <v>76</v>
      </c>
      <c r="U20" s="62" t="e">
        <f t="shared" si="0"/>
        <v>#REF!</v>
      </c>
    </row>
    <row r="21" spans="1:21">
      <c r="A21" s="218" t="s">
        <v>7</v>
      </c>
      <c r="B21" s="6" t="str">
        <f>VLOOKUP(A21,Fleet[],2,FALSE)</f>
        <v>Intel</v>
      </c>
      <c r="C21" s="160">
        <v>45594</v>
      </c>
      <c r="D21" s="346">
        <f>YEAR(DATE(YEAR(Runhours_Table[[#This Row],[Date]]-WEEKDAY(Runhours_Table[[#This Row],[Date]]-1)+4),1,1)-MOD((DATE(YEAR(Runhours_Table[[#This Row],[Date]]-WEEKDAY(Runhours_Table[[#This Row],[Date]]-1)+4),1,1)-2),7)+(7*IF(MOD((DATE(YEAR(Runhours_Table[[#This Row],[Date]]-WEEKDAY(Runhours_Table[[#This Row],[Date]]-1)+4),1,1)-2),7)&gt;3,1,0))+7)</f>
        <v>2024</v>
      </c>
      <c r="E21" s="164">
        <f>_xlfn.ISOWEEKNUM(Runhours_Table[[#This Row],[Date]])</f>
        <v>44</v>
      </c>
      <c r="F21" s="160" t="str">
        <f>RIGHT(YEAR(Runhours_Table[[#This Row],[Date]]),2)&amp;TEXT(_xlfn.ISOWEEKNUM(Runhours_Table[[#This Row],[Date]]),"00")</f>
        <v>2444</v>
      </c>
      <c r="G21" s="31">
        <v>0</v>
      </c>
      <c r="H21" s="31">
        <v>0</v>
      </c>
      <c r="I21" s="38">
        <f ca="1">_xlfn.ISOWEEKNUM(Runhours_Table[[#This Row],[Date]])+52*(Runhours_Table[[#This Row],[Year]]-YEAR(DATE(YEAR(TODAY()-WEEKDAY(TODAY()-1)+4),1,1)-MOD((DATE(YEAR(TODAY()-WEEKDAY(TODAY()-1)+4),1,1)-2),7)+(7*IF(MOD((DATE(YEAR(TODAY()-WEEKDAY(TODAY()-1)+4),1,1)-2),7)&gt;3,1,0))+7) )-_xlfn.ISOWEEKNUM(NOW())</f>
        <v>-45</v>
      </c>
      <c r="J21" s="345"/>
      <c r="K21" s="513"/>
      <c r="L21" s="4" t="s">
        <v>77</v>
      </c>
      <c r="M21" s="61" t="e">
        <f>IF(M19=0,M17,M17/M19)</f>
        <v>#REF!</v>
      </c>
      <c r="O21" s="513"/>
      <c r="P21" s="4" t="s">
        <v>77</v>
      </c>
      <c r="Q21" s="61" t="e">
        <f>IF(Q19=0,Q17,Q17/Q19)</f>
        <v>#REF!</v>
      </c>
      <c r="S21" s="513"/>
      <c r="T21" s="4" t="s">
        <v>77</v>
      </c>
      <c r="U21" s="61" t="e">
        <f t="shared" si="0"/>
        <v>#REF!</v>
      </c>
    </row>
    <row r="22" spans="1:21" ht="15.75" thickBot="1">
      <c r="A22" s="218" t="s">
        <v>4</v>
      </c>
      <c r="B22" s="6" t="str">
        <f>VLOOKUP(A22,Fleet[],2,FALSE)</f>
        <v>Intel</v>
      </c>
      <c r="C22" s="160">
        <v>45595</v>
      </c>
      <c r="D22" s="346">
        <f>YEAR(DATE(YEAR(Runhours_Table[[#This Row],[Date]]-WEEKDAY(Runhours_Table[[#This Row],[Date]]-1)+4),1,1)-MOD((DATE(YEAR(Runhours_Table[[#This Row],[Date]]-WEEKDAY(Runhours_Table[[#This Row],[Date]]-1)+4),1,1)-2),7)+(7*IF(MOD((DATE(YEAR(Runhours_Table[[#This Row],[Date]]-WEEKDAY(Runhours_Table[[#This Row],[Date]]-1)+4),1,1)-2),7)&gt;3,1,0))+7)</f>
        <v>2024</v>
      </c>
      <c r="E22" s="164">
        <f>_xlfn.ISOWEEKNUM(Runhours_Table[[#This Row],[Date]])</f>
        <v>44</v>
      </c>
      <c r="F22" s="160" t="str">
        <f>RIGHT(YEAR(Runhours_Table[[#This Row],[Date]]),2)&amp;TEXT(_xlfn.ISOWEEKNUM(Runhours_Table[[#This Row],[Date]]),"00")</f>
        <v>2444</v>
      </c>
      <c r="G22" s="31">
        <v>0</v>
      </c>
      <c r="H22" s="31">
        <v>0</v>
      </c>
      <c r="I22" s="38">
        <f ca="1">_xlfn.ISOWEEKNUM(Runhours_Table[[#This Row],[Date]])+52*(Runhours_Table[[#This Row],[Year]]-YEAR(DATE(YEAR(TODAY()-WEEKDAY(TODAY()-1)+4),1,1)-MOD((DATE(YEAR(TODAY()-WEEKDAY(TODAY()-1)+4),1,1)-2),7)+(7*IF(MOD((DATE(YEAR(TODAY()-WEEKDAY(TODAY()-1)+4),1,1)-2),7)&gt;3,1,0))+7) )-_xlfn.ISOWEEKNUM(NOW())</f>
        <v>-45</v>
      </c>
      <c r="J22" s="345"/>
      <c r="K22" s="514"/>
      <c r="L22" s="63" t="s">
        <v>78</v>
      </c>
      <c r="M22" s="64" t="e">
        <f>IF(M20=0,M18,M18/M20)</f>
        <v>#REF!</v>
      </c>
      <c r="O22" s="514"/>
      <c r="P22" s="63" t="s">
        <v>78</v>
      </c>
      <c r="Q22" s="64" t="e">
        <f>IF(Q20=0,Q18,Q18/Q20)</f>
        <v>#REF!</v>
      </c>
      <c r="S22" s="514"/>
      <c r="T22" s="63" t="s">
        <v>78</v>
      </c>
      <c r="U22" s="61" t="e">
        <f t="shared" si="0"/>
        <v>#REF!</v>
      </c>
    </row>
    <row r="23" spans="1:21">
      <c r="A23" s="218" t="s">
        <v>7</v>
      </c>
      <c r="B23" s="6" t="str">
        <f>VLOOKUP(A23,Fleet[],2,FALSE)</f>
        <v>Intel</v>
      </c>
      <c r="C23" s="160">
        <v>45595</v>
      </c>
      <c r="D23" s="346">
        <f>YEAR(DATE(YEAR(Runhours_Table[[#This Row],[Date]]-WEEKDAY(Runhours_Table[[#This Row],[Date]]-1)+4),1,1)-MOD((DATE(YEAR(Runhours_Table[[#This Row],[Date]]-WEEKDAY(Runhours_Table[[#This Row],[Date]]-1)+4),1,1)-2),7)+(7*IF(MOD((DATE(YEAR(Runhours_Table[[#This Row],[Date]]-WEEKDAY(Runhours_Table[[#This Row],[Date]]-1)+4),1,1)-2),7)&gt;3,1,0))+7)</f>
        <v>2024</v>
      </c>
      <c r="E23" s="164">
        <f>_xlfn.ISOWEEKNUM(Runhours_Table[[#This Row],[Date]])</f>
        <v>44</v>
      </c>
      <c r="F23" s="160" t="str">
        <f>RIGHT(YEAR(Runhours_Table[[#This Row],[Date]]),2)&amp;TEXT(_xlfn.ISOWEEKNUM(Runhours_Table[[#This Row],[Date]]),"00")</f>
        <v>2444</v>
      </c>
      <c r="G23" s="31">
        <v>0</v>
      </c>
      <c r="H23" s="31">
        <v>0</v>
      </c>
      <c r="I23" s="38">
        <f ca="1">_xlfn.ISOWEEKNUM(Runhours_Table[[#This Row],[Date]])+52*(Runhours_Table[[#This Row],[Year]]-YEAR(DATE(YEAR(TODAY()-WEEKDAY(TODAY()-1)+4),1,1)-MOD((DATE(YEAR(TODAY()-WEEKDAY(TODAY()-1)+4),1,1)-2),7)+(7*IF(MOD((DATE(YEAR(TODAY()-WEEKDAY(TODAY()-1)+4),1,1)-2),7)&gt;3,1,0))+7) )-_xlfn.ISOWEEKNUM(NOW())</f>
        <v>-45</v>
      </c>
      <c r="J23" s="345"/>
      <c r="L23" s="5"/>
    </row>
    <row r="24" spans="1:21">
      <c r="A24" s="218" t="s">
        <v>4</v>
      </c>
      <c r="B24" s="6" t="str">
        <f>VLOOKUP(A24,Fleet[],2,FALSE)</f>
        <v>Intel</v>
      </c>
      <c r="C24" s="160">
        <v>45596</v>
      </c>
      <c r="D24" s="346">
        <f>YEAR(DATE(YEAR(Runhours_Table[[#This Row],[Date]]-WEEKDAY(Runhours_Table[[#This Row],[Date]]-1)+4),1,1)-MOD((DATE(YEAR(Runhours_Table[[#This Row],[Date]]-WEEKDAY(Runhours_Table[[#This Row],[Date]]-1)+4),1,1)-2),7)+(7*IF(MOD((DATE(YEAR(Runhours_Table[[#This Row],[Date]]-WEEKDAY(Runhours_Table[[#This Row],[Date]]-1)+4),1,1)-2),7)&gt;3,1,0))+7)</f>
        <v>2024</v>
      </c>
      <c r="E24" s="164">
        <f>_xlfn.ISOWEEKNUM(Runhours_Table[[#This Row],[Date]])</f>
        <v>44</v>
      </c>
      <c r="F24" s="160" t="str">
        <f>RIGHT(YEAR(Runhours_Table[[#This Row],[Date]]),2)&amp;TEXT(_xlfn.ISOWEEKNUM(Runhours_Table[[#This Row],[Date]]),"00")</f>
        <v>2444</v>
      </c>
      <c r="G24" s="31">
        <v>0</v>
      </c>
      <c r="H24" s="31">
        <v>0</v>
      </c>
      <c r="I24" s="38">
        <f ca="1">_xlfn.ISOWEEKNUM(Runhours_Table[[#This Row],[Date]])+52*(Runhours_Table[[#This Row],[Year]]-YEAR(DATE(YEAR(TODAY()-WEEKDAY(TODAY()-1)+4),1,1)-MOD((DATE(YEAR(TODAY()-WEEKDAY(TODAY()-1)+4),1,1)-2),7)+(7*IF(MOD((DATE(YEAR(TODAY()-WEEKDAY(TODAY()-1)+4),1,1)-2),7)&gt;3,1,0))+7) )-_xlfn.ISOWEEKNUM(NOW())</f>
        <v>-45</v>
      </c>
      <c r="J24" s="345"/>
    </row>
    <row r="25" spans="1:21">
      <c r="A25" s="218" t="s">
        <v>7</v>
      </c>
      <c r="B25" s="6" t="str">
        <f>VLOOKUP(A25,Fleet[],2,FALSE)</f>
        <v>Intel</v>
      </c>
      <c r="C25" s="160">
        <v>45596</v>
      </c>
      <c r="D25" s="346">
        <f>YEAR(DATE(YEAR(Runhours_Table[[#This Row],[Date]]-WEEKDAY(Runhours_Table[[#This Row],[Date]]-1)+4),1,1)-MOD((DATE(YEAR(Runhours_Table[[#This Row],[Date]]-WEEKDAY(Runhours_Table[[#This Row],[Date]]-1)+4),1,1)-2),7)+(7*IF(MOD((DATE(YEAR(Runhours_Table[[#This Row],[Date]]-WEEKDAY(Runhours_Table[[#This Row],[Date]]-1)+4),1,1)-2),7)&gt;3,1,0))+7)</f>
        <v>2024</v>
      </c>
      <c r="E25" s="164">
        <f>_xlfn.ISOWEEKNUM(Runhours_Table[[#This Row],[Date]])</f>
        <v>44</v>
      </c>
      <c r="F25" s="160" t="str">
        <f>RIGHT(YEAR(Runhours_Table[[#This Row],[Date]]),2)&amp;TEXT(_xlfn.ISOWEEKNUM(Runhours_Table[[#This Row],[Date]]),"00")</f>
        <v>2444</v>
      </c>
      <c r="G25" s="31">
        <v>0</v>
      </c>
      <c r="H25" s="31">
        <v>0</v>
      </c>
      <c r="I25" s="38">
        <f ca="1">_xlfn.ISOWEEKNUM(Runhours_Table[[#This Row],[Date]])+52*(Runhours_Table[[#This Row],[Year]]-YEAR(DATE(YEAR(TODAY()-WEEKDAY(TODAY()-1)+4),1,1)-MOD((DATE(YEAR(TODAY()-WEEKDAY(TODAY()-1)+4),1,1)-2),7)+(7*IF(MOD((DATE(YEAR(TODAY()-WEEKDAY(TODAY()-1)+4),1,1)-2),7)&gt;3,1,0))+7) )-_xlfn.ISOWEEKNUM(NOW())</f>
        <v>-45</v>
      </c>
      <c r="J25" s="345"/>
      <c r="K25" t="s">
        <v>81</v>
      </c>
    </row>
    <row r="26" spans="1:21">
      <c r="A26" s="218" t="s">
        <v>4</v>
      </c>
      <c r="B26" s="6" t="str">
        <f>VLOOKUP(A26,Fleet[],2,FALSE)</f>
        <v>Intel</v>
      </c>
      <c r="C26" s="160">
        <v>45597</v>
      </c>
      <c r="D26" s="346">
        <f>YEAR(DATE(YEAR(Runhours_Table[[#This Row],[Date]]-WEEKDAY(Runhours_Table[[#This Row],[Date]]-1)+4),1,1)-MOD((DATE(YEAR(Runhours_Table[[#This Row],[Date]]-WEEKDAY(Runhours_Table[[#This Row],[Date]]-1)+4),1,1)-2),7)+(7*IF(MOD((DATE(YEAR(Runhours_Table[[#This Row],[Date]]-WEEKDAY(Runhours_Table[[#This Row],[Date]]-1)+4),1,1)-2),7)&gt;3,1,0))+7)</f>
        <v>2024</v>
      </c>
      <c r="E26" s="164">
        <f>_xlfn.ISOWEEKNUM(Runhours_Table[[#This Row],[Date]])</f>
        <v>44</v>
      </c>
      <c r="F26" s="160" t="str">
        <f>RIGHT(YEAR(Runhours_Table[[#This Row],[Date]]),2)&amp;TEXT(_xlfn.ISOWEEKNUM(Runhours_Table[[#This Row],[Date]]),"00")</f>
        <v>2444</v>
      </c>
      <c r="G26" s="31">
        <v>0</v>
      </c>
      <c r="H26" s="31">
        <v>0</v>
      </c>
      <c r="I26" s="38">
        <f ca="1">_xlfn.ISOWEEKNUM(Runhours_Table[[#This Row],[Date]])+52*(Runhours_Table[[#This Row],[Year]]-YEAR(DATE(YEAR(TODAY()-WEEKDAY(TODAY()-1)+4),1,1)-MOD((DATE(YEAR(TODAY()-WEEKDAY(TODAY()-1)+4),1,1)-2),7)+(7*IF(MOD((DATE(YEAR(TODAY()-WEEKDAY(TODAY()-1)+4),1,1)-2),7)&gt;3,1,0))+7) )-_xlfn.ISOWEEKNUM(NOW())</f>
        <v>-45</v>
      </c>
      <c r="J26" s="345"/>
    </row>
    <row r="27" spans="1:21">
      <c r="A27" s="218" t="s">
        <v>7</v>
      </c>
      <c r="B27" s="6" t="str">
        <f>VLOOKUP(A27,Fleet[],2,FALSE)</f>
        <v>Intel</v>
      </c>
      <c r="C27" s="160">
        <v>45597</v>
      </c>
      <c r="D27" s="346">
        <f>YEAR(DATE(YEAR(Runhours_Table[[#This Row],[Date]]-WEEKDAY(Runhours_Table[[#This Row],[Date]]-1)+4),1,1)-MOD((DATE(YEAR(Runhours_Table[[#This Row],[Date]]-WEEKDAY(Runhours_Table[[#This Row],[Date]]-1)+4),1,1)-2),7)+(7*IF(MOD((DATE(YEAR(Runhours_Table[[#This Row],[Date]]-WEEKDAY(Runhours_Table[[#This Row],[Date]]-1)+4),1,1)-2),7)&gt;3,1,0))+7)</f>
        <v>2024</v>
      </c>
      <c r="E27" s="164">
        <f>_xlfn.ISOWEEKNUM(Runhours_Table[[#This Row],[Date]])</f>
        <v>44</v>
      </c>
      <c r="F27" s="160" t="str">
        <f>RIGHT(YEAR(Runhours_Table[[#This Row],[Date]]),2)&amp;TEXT(_xlfn.ISOWEEKNUM(Runhours_Table[[#This Row],[Date]]),"00")</f>
        <v>2444</v>
      </c>
      <c r="G27" s="31">
        <v>0</v>
      </c>
      <c r="H27" s="31">
        <v>0</v>
      </c>
      <c r="I27" s="38">
        <f ca="1">_xlfn.ISOWEEKNUM(Runhours_Table[[#This Row],[Date]])+52*(Runhours_Table[[#This Row],[Year]]-YEAR(DATE(YEAR(TODAY()-WEEKDAY(TODAY()-1)+4),1,1)-MOD((DATE(YEAR(TODAY()-WEEKDAY(TODAY()-1)+4),1,1)-2),7)+(7*IF(MOD((DATE(YEAR(TODAY()-WEEKDAY(TODAY()-1)+4),1,1)-2),7)&gt;3,1,0))+7) )-_xlfn.ISOWEEKNUM(NOW())</f>
        <v>-45</v>
      </c>
      <c r="J27" s="345"/>
      <c r="K27" s="213"/>
      <c r="L27" s="530" t="s">
        <v>4</v>
      </c>
      <c r="M27" s="530"/>
      <c r="N27" s="530" t="s">
        <v>7</v>
      </c>
      <c r="O27" s="530"/>
      <c r="P27" s="530" t="s">
        <v>82</v>
      </c>
      <c r="Q27" s="530"/>
    </row>
    <row r="28" spans="1:21">
      <c r="A28" s="218" t="s">
        <v>4</v>
      </c>
      <c r="B28" s="6" t="str">
        <f>VLOOKUP(A28,Fleet[],2,FALSE)</f>
        <v>Intel</v>
      </c>
      <c r="C28" s="160">
        <v>45598</v>
      </c>
      <c r="D28" s="346">
        <f>YEAR(DATE(YEAR(Runhours_Table[[#This Row],[Date]]-WEEKDAY(Runhours_Table[[#This Row],[Date]]-1)+4),1,1)-MOD((DATE(YEAR(Runhours_Table[[#This Row],[Date]]-WEEKDAY(Runhours_Table[[#This Row],[Date]]-1)+4),1,1)-2),7)+(7*IF(MOD((DATE(YEAR(Runhours_Table[[#This Row],[Date]]-WEEKDAY(Runhours_Table[[#This Row],[Date]]-1)+4),1,1)-2),7)&gt;3,1,0))+7)</f>
        <v>2024</v>
      </c>
      <c r="E28" s="164">
        <f>_xlfn.ISOWEEKNUM(Runhours_Table[[#This Row],[Date]])</f>
        <v>44</v>
      </c>
      <c r="F28" s="160" t="str">
        <f>RIGHT(YEAR(Runhours_Table[[#This Row],[Date]]),2)&amp;TEXT(_xlfn.ISOWEEKNUM(Runhours_Table[[#This Row],[Date]]),"00")</f>
        <v>2444</v>
      </c>
      <c r="G28" s="31">
        <v>0</v>
      </c>
      <c r="H28" s="31">
        <v>0</v>
      </c>
      <c r="I28" s="38">
        <f ca="1">_xlfn.ISOWEEKNUM(Runhours_Table[[#This Row],[Date]])+52*(Runhours_Table[[#This Row],[Year]]-YEAR(DATE(YEAR(TODAY()-WEEKDAY(TODAY()-1)+4),1,1)-MOD((DATE(YEAR(TODAY()-WEEKDAY(TODAY()-1)+4),1,1)-2),7)+(7*IF(MOD((DATE(YEAR(TODAY()-WEEKDAY(TODAY()-1)+4),1,1)-2),7)&gt;3,1,0))+7) )-_xlfn.ISOWEEKNUM(NOW())</f>
        <v>-45</v>
      </c>
      <c r="J28" s="345"/>
      <c r="K28" s="216" t="s">
        <v>83</v>
      </c>
      <c r="L28" s="214" t="s">
        <v>84</v>
      </c>
      <c r="M28" s="214" t="s">
        <v>85</v>
      </c>
      <c r="N28" s="214" t="s">
        <v>86</v>
      </c>
      <c r="O28" s="214" t="s">
        <v>87</v>
      </c>
      <c r="P28" s="214" t="s">
        <v>88</v>
      </c>
      <c r="Q28" s="214" t="s">
        <v>89</v>
      </c>
    </row>
    <row r="29" spans="1:21">
      <c r="A29" s="218" t="s">
        <v>7</v>
      </c>
      <c r="B29" s="6" t="str">
        <f>VLOOKUP(A29,Fleet[],2,FALSE)</f>
        <v>Intel</v>
      </c>
      <c r="C29" s="160">
        <v>45598</v>
      </c>
      <c r="D29" s="346">
        <f>YEAR(DATE(YEAR(Runhours_Table[[#This Row],[Date]]-WEEKDAY(Runhours_Table[[#This Row],[Date]]-1)+4),1,1)-MOD((DATE(YEAR(Runhours_Table[[#This Row],[Date]]-WEEKDAY(Runhours_Table[[#This Row],[Date]]-1)+4),1,1)-2),7)+(7*IF(MOD((DATE(YEAR(Runhours_Table[[#This Row],[Date]]-WEEKDAY(Runhours_Table[[#This Row],[Date]]-1)+4),1,1)-2),7)&gt;3,1,0))+7)</f>
        <v>2024</v>
      </c>
      <c r="E29" s="164">
        <f>_xlfn.ISOWEEKNUM(Runhours_Table[[#This Row],[Date]])</f>
        <v>44</v>
      </c>
      <c r="F29" s="160" t="str">
        <f>RIGHT(YEAR(Runhours_Table[[#This Row],[Date]]),2)&amp;TEXT(_xlfn.ISOWEEKNUM(Runhours_Table[[#This Row],[Date]]),"00")</f>
        <v>2444</v>
      </c>
      <c r="G29" s="31">
        <v>0</v>
      </c>
      <c r="H29" s="31">
        <v>0</v>
      </c>
      <c r="I29" s="38">
        <f ca="1">_xlfn.ISOWEEKNUM(Runhours_Table[[#This Row],[Date]])+52*(Runhours_Table[[#This Row],[Year]]-YEAR(DATE(YEAR(TODAY()-WEEKDAY(TODAY()-1)+4),1,1)-MOD((DATE(YEAR(TODAY()-WEEKDAY(TODAY()-1)+4),1,1)-2),7)+(7*IF(MOD((DATE(YEAR(TODAY()-WEEKDAY(TODAY()-1)+4),1,1)-2),7)&gt;3,1,0))+7) )-_xlfn.ISOWEEKNUM(NOW())</f>
        <v>-45</v>
      </c>
      <c r="J29" s="345"/>
      <c r="K29" s="216">
        <v>2</v>
      </c>
      <c r="L29" s="215">
        <f>COUNTIFS(Error_Log!E:E,"="&amp;TEXT(K29,"00"),Error_Log!U:U,"Y",Error_Log!A:A,"CR51")</f>
        <v>0</v>
      </c>
      <c r="M29" s="215">
        <f>COUNTIFS(Error_Log!E:E,"="&amp;TEXT(K29,"00"),Error_Log!A:A,"CR51")</f>
        <v>3</v>
      </c>
      <c r="N29" s="215">
        <f>COUNTIFS(Error_Log!E:E,"="&amp;TEXT(K29,"00"),Error_Log!U:U,"Y",Error_Log!A:A,"GY86")</f>
        <v>3</v>
      </c>
      <c r="O29" s="215">
        <f>COUNTIFS(Error_Log!E:E,"="&amp;TEXT(K29,"00"),Error_Log!A:A,"GY86")</f>
        <v>6</v>
      </c>
      <c r="P29" s="215">
        <f>SUM(L29,N29)</f>
        <v>3</v>
      </c>
      <c r="Q29" s="215">
        <f>SUM(M29,O29)</f>
        <v>9</v>
      </c>
    </row>
    <row r="30" spans="1:21">
      <c r="A30" s="218" t="s">
        <v>4</v>
      </c>
      <c r="B30" s="6" t="str">
        <f>VLOOKUP(A30,Fleet[],2,FALSE)</f>
        <v>Intel</v>
      </c>
      <c r="C30" s="160">
        <v>45599</v>
      </c>
      <c r="D30" s="346">
        <f>YEAR(DATE(YEAR(Runhours_Table[[#This Row],[Date]]-WEEKDAY(Runhours_Table[[#This Row],[Date]]-1)+4),1,1)-MOD((DATE(YEAR(Runhours_Table[[#This Row],[Date]]-WEEKDAY(Runhours_Table[[#This Row],[Date]]-1)+4),1,1)-2),7)+(7*IF(MOD((DATE(YEAR(Runhours_Table[[#This Row],[Date]]-WEEKDAY(Runhours_Table[[#This Row],[Date]]-1)+4),1,1)-2),7)&gt;3,1,0))+7)</f>
        <v>2024</v>
      </c>
      <c r="E30" s="164">
        <f>_xlfn.ISOWEEKNUM(Runhours_Table[[#This Row],[Date]])</f>
        <v>44</v>
      </c>
      <c r="F30" s="160" t="str">
        <f>RIGHT(YEAR(Runhours_Table[[#This Row],[Date]]),2)&amp;TEXT(_xlfn.ISOWEEKNUM(Runhours_Table[[#This Row],[Date]]),"00")</f>
        <v>2444</v>
      </c>
      <c r="G30" s="31">
        <v>0</v>
      </c>
      <c r="H30" s="31">
        <v>0</v>
      </c>
      <c r="I30" s="38">
        <f ca="1">_xlfn.ISOWEEKNUM(Runhours_Table[[#This Row],[Date]])+52*(Runhours_Table[[#This Row],[Year]]-YEAR(DATE(YEAR(TODAY()-WEEKDAY(TODAY()-1)+4),1,1)-MOD((DATE(YEAR(TODAY()-WEEKDAY(TODAY()-1)+4),1,1)-2),7)+(7*IF(MOD((DATE(YEAR(TODAY()-WEEKDAY(TODAY()-1)+4),1,1)-2),7)&gt;3,1,0))+7) )-_xlfn.ISOWEEKNUM(NOW())</f>
        <v>-45</v>
      </c>
      <c r="J30" s="345"/>
      <c r="K30" s="216">
        <v>3</v>
      </c>
      <c r="L30" s="215">
        <f>COUNTIFS(Error_Log!E:E,"="&amp;TEXT(K30,"00"),Error_Log!U:U,"Y",Error_Log!A:A,"CR51")</f>
        <v>0</v>
      </c>
      <c r="M30" s="215">
        <f>COUNTIFS(Error_Log!E:E,"="&amp;TEXT(K30,"00"),Error_Log!A:A,"CR51")</f>
        <v>1</v>
      </c>
      <c r="N30" s="215">
        <f>COUNTIFS(Error_Log!E:E,"="&amp;TEXT(K30,"00"),Error_Log!U:U,"Y",Error_Log!A:A,"GY86")</f>
        <v>0</v>
      </c>
      <c r="O30" s="215">
        <f>COUNTIFS(Error_Log!E:E,"="&amp;TEXT(K30,"00"),Error_Log!A:A,"GY86")</f>
        <v>1</v>
      </c>
      <c r="P30" s="215">
        <f t="shared" ref="P30:Q50" si="1">SUM(L30,N30)</f>
        <v>0</v>
      </c>
      <c r="Q30" s="215">
        <f t="shared" si="1"/>
        <v>2</v>
      </c>
    </row>
    <row r="31" spans="1:21">
      <c r="A31" s="218" t="s">
        <v>7</v>
      </c>
      <c r="B31" s="6" t="str">
        <f>VLOOKUP(A31,Fleet[],2,FALSE)</f>
        <v>Intel</v>
      </c>
      <c r="C31" s="160">
        <v>45599</v>
      </c>
      <c r="D31" s="346">
        <f>YEAR(DATE(YEAR(Runhours_Table[[#This Row],[Date]]-WEEKDAY(Runhours_Table[[#This Row],[Date]]-1)+4),1,1)-MOD((DATE(YEAR(Runhours_Table[[#This Row],[Date]]-WEEKDAY(Runhours_Table[[#This Row],[Date]]-1)+4),1,1)-2),7)+(7*IF(MOD((DATE(YEAR(Runhours_Table[[#This Row],[Date]]-WEEKDAY(Runhours_Table[[#This Row],[Date]]-1)+4),1,1)-2),7)&gt;3,1,0))+7)</f>
        <v>2024</v>
      </c>
      <c r="E31" s="164">
        <f>_xlfn.ISOWEEKNUM(Runhours_Table[[#This Row],[Date]])</f>
        <v>44</v>
      </c>
      <c r="F31" s="160" t="str">
        <f>RIGHT(YEAR(Runhours_Table[[#This Row],[Date]]),2)&amp;TEXT(_xlfn.ISOWEEKNUM(Runhours_Table[[#This Row],[Date]]),"00")</f>
        <v>2444</v>
      </c>
      <c r="G31" s="31">
        <v>0</v>
      </c>
      <c r="H31" s="31">
        <v>0</v>
      </c>
      <c r="I31" s="38">
        <f ca="1">_xlfn.ISOWEEKNUM(Runhours_Table[[#This Row],[Date]])+52*(Runhours_Table[[#This Row],[Year]]-YEAR(DATE(YEAR(TODAY()-WEEKDAY(TODAY()-1)+4),1,1)-MOD((DATE(YEAR(TODAY()-WEEKDAY(TODAY()-1)+4),1,1)-2),7)+(7*IF(MOD((DATE(YEAR(TODAY()-WEEKDAY(TODAY()-1)+4),1,1)-2),7)&gt;3,1,0))+7) )-_xlfn.ISOWEEKNUM(NOW())</f>
        <v>-45</v>
      </c>
      <c r="J31" s="345"/>
      <c r="K31" s="216">
        <v>4</v>
      </c>
      <c r="L31" s="215">
        <f>COUNTIFS(Error_Log!E:E,"="&amp;TEXT(K31,"00"),Error_Log!U:U,"Y",Error_Log!A:A,"CR51")</f>
        <v>0</v>
      </c>
      <c r="M31" s="215">
        <f>COUNTIFS(Error_Log!E:E,"="&amp;TEXT(K31,"00"),Error_Log!A:A,"CR51")</f>
        <v>4</v>
      </c>
      <c r="N31" s="215">
        <f>COUNTIFS(Error_Log!E:E,"="&amp;TEXT(K31,"00"),Error_Log!U:U,"Y",Error_Log!A:A,"GY86")</f>
        <v>0</v>
      </c>
      <c r="O31" s="215">
        <f>COUNTIFS(Error_Log!E:E,"="&amp;TEXT(K31,"00"),Error_Log!A:A,"GY86")</f>
        <v>7</v>
      </c>
      <c r="P31" s="215">
        <f t="shared" si="1"/>
        <v>0</v>
      </c>
      <c r="Q31" s="215">
        <f t="shared" si="1"/>
        <v>11</v>
      </c>
    </row>
    <row r="32" spans="1:21">
      <c r="A32" s="218" t="s">
        <v>4</v>
      </c>
      <c r="B32" s="6" t="str">
        <f>VLOOKUP(A32,Fleet[],2,FALSE)</f>
        <v>Intel</v>
      </c>
      <c r="C32" s="160">
        <v>45600</v>
      </c>
      <c r="D32" s="346">
        <f>YEAR(DATE(YEAR(Runhours_Table[[#This Row],[Date]]-WEEKDAY(Runhours_Table[[#This Row],[Date]]-1)+4),1,1)-MOD((DATE(YEAR(Runhours_Table[[#This Row],[Date]]-WEEKDAY(Runhours_Table[[#This Row],[Date]]-1)+4),1,1)-2),7)+(7*IF(MOD((DATE(YEAR(Runhours_Table[[#This Row],[Date]]-WEEKDAY(Runhours_Table[[#This Row],[Date]]-1)+4),1,1)-2),7)&gt;3,1,0))+7)</f>
        <v>2024</v>
      </c>
      <c r="E32" s="164">
        <f>_xlfn.ISOWEEKNUM(Runhours_Table[[#This Row],[Date]])</f>
        <v>45</v>
      </c>
      <c r="F32" s="160" t="str">
        <f>RIGHT(YEAR(Runhours_Table[[#This Row],[Date]]),2)&amp;TEXT(_xlfn.ISOWEEKNUM(Runhours_Table[[#This Row],[Date]]),"00")</f>
        <v>2445</v>
      </c>
      <c r="G32" s="31">
        <v>0.9</v>
      </c>
      <c r="H32" s="31">
        <v>5</v>
      </c>
      <c r="I32" s="38">
        <f ca="1">_xlfn.ISOWEEKNUM(Runhours_Table[[#This Row],[Date]])+52*(Runhours_Table[[#This Row],[Year]]-YEAR(DATE(YEAR(TODAY()-WEEKDAY(TODAY()-1)+4),1,1)-MOD((DATE(YEAR(TODAY()-WEEKDAY(TODAY()-1)+4),1,1)-2),7)+(7*IF(MOD((DATE(YEAR(TODAY()-WEEKDAY(TODAY()-1)+4),1,1)-2),7)&gt;3,1,0))+7) )-_xlfn.ISOWEEKNUM(NOW())</f>
        <v>-44</v>
      </c>
      <c r="J32" s="345"/>
      <c r="K32" s="216">
        <v>5</v>
      </c>
      <c r="L32" s="215">
        <f>COUNTIFS(Error_Log!E:E,"="&amp;TEXT(K32,"00"),Error_Log!U:U,"Y",Error_Log!A:A,"CR51")</f>
        <v>2</v>
      </c>
      <c r="M32" s="215">
        <f>COUNTIFS(Error_Log!E:E,"="&amp;TEXT(K32,"00"),Error_Log!A:A,"CR51")</f>
        <v>5</v>
      </c>
      <c r="N32" s="215">
        <f>COUNTIFS(Error_Log!E:E,"="&amp;TEXT(K32,"00"),Error_Log!U:U,"Y",Error_Log!A:A,"GY86")</f>
        <v>4</v>
      </c>
      <c r="O32" s="215">
        <f>COUNTIFS(Error_Log!E:E,"="&amp;TEXT(K32,"00"),Error_Log!A:A,"GY86")</f>
        <v>5</v>
      </c>
      <c r="P32" s="215">
        <f t="shared" si="1"/>
        <v>6</v>
      </c>
      <c r="Q32" s="215">
        <f t="shared" si="1"/>
        <v>10</v>
      </c>
    </row>
    <row r="33" spans="1:17">
      <c r="A33" s="218" t="s">
        <v>7</v>
      </c>
      <c r="B33" s="6" t="str">
        <f>VLOOKUP(A33,Fleet[],2,FALSE)</f>
        <v>Intel</v>
      </c>
      <c r="C33" s="160">
        <v>45600</v>
      </c>
      <c r="D33" s="346">
        <f>YEAR(DATE(YEAR(Runhours_Table[[#This Row],[Date]]-WEEKDAY(Runhours_Table[[#This Row],[Date]]-1)+4),1,1)-MOD((DATE(YEAR(Runhours_Table[[#This Row],[Date]]-WEEKDAY(Runhours_Table[[#This Row],[Date]]-1)+4),1,1)-2),7)+(7*IF(MOD((DATE(YEAR(Runhours_Table[[#This Row],[Date]]-WEEKDAY(Runhours_Table[[#This Row],[Date]]-1)+4),1,1)-2),7)&gt;3,1,0))+7)</f>
        <v>2024</v>
      </c>
      <c r="E33" s="164">
        <f>_xlfn.ISOWEEKNUM(Runhours_Table[[#This Row],[Date]])</f>
        <v>45</v>
      </c>
      <c r="F33" s="160" t="str">
        <f>RIGHT(YEAR(Runhours_Table[[#This Row],[Date]]),2)&amp;TEXT(_xlfn.ISOWEEKNUM(Runhours_Table[[#This Row],[Date]]),"00")</f>
        <v>2445</v>
      </c>
      <c r="G33" s="31">
        <v>0</v>
      </c>
      <c r="H33" s="31">
        <v>0</v>
      </c>
      <c r="I33" s="38">
        <f ca="1">_xlfn.ISOWEEKNUM(Runhours_Table[[#This Row],[Date]])+52*(Runhours_Table[[#This Row],[Year]]-YEAR(DATE(YEAR(TODAY()-WEEKDAY(TODAY()-1)+4),1,1)-MOD((DATE(YEAR(TODAY()-WEEKDAY(TODAY()-1)+4),1,1)-2),7)+(7*IF(MOD((DATE(YEAR(TODAY()-WEEKDAY(TODAY()-1)+4),1,1)-2),7)&gt;3,1,0))+7) )-_xlfn.ISOWEEKNUM(NOW())</f>
        <v>-44</v>
      </c>
      <c r="J33" s="345"/>
      <c r="K33" s="216">
        <v>6</v>
      </c>
      <c r="L33" s="215">
        <f>COUNTIFS(Error_Log!E:E,"="&amp;TEXT(K33,"00"),Error_Log!U:U,"Y",Error_Log!A:A,"CR51")</f>
        <v>1</v>
      </c>
      <c r="M33" s="215">
        <f>COUNTIFS(Error_Log!E:E,"="&amp;TEXT(K33,"00"),Error_Log!A:A,"CR51")</f>
        <v>1</v>
      </c>
      <c r="N33" s="215">
        <f>COUNTIFS(Error_Log!E:E,"="&amp;TEXT(K33,"00"),Error_Log!U:U,"Y",Error_Log!A:A,"GY86")</f>
        <v>2</v>
      </c>
      <c r="O33" s="215">
        <f>COUNTIFS(Error_Log!E:E,"="&amp;TEXT(K33,"00"),Error_Log!A:A,"GY86")</f>
        <v>2</v>
      </c>
      <c r="P33" s="215">
        <f t="shared" si="1"/>
        <v>3</v>
      </c>
      <c r="Q33" s="215">
        <f t="shared" si="1"/>
        <v>3</v>
      </c>
    </row>
    <row r="34" spans="1:17">
      <c r="A34" s="218" t="s">
        <v>4</v>
      </c>
      <c r="B34" s="6" t="str">
        <f>VLOOKUP(A34,Fleet[],2,FALSE)</f>
        <v>Intel</v>
      </c>
      <c r="C34" s="160">
        <v>45601</v>
      </c>
      <c r="D34" s="346">
        <f>YEAR(DATE(YEAR(Runhours_Table[[#This Row],[Date]]-WEEKDAY(Runhours_Table[[#This Row],[Date]]-1)+4),1,1)-MOD((DATE(YEAR(Runhours_Table[[#This Row],[Date]]-WEEKDAY(Runhours_Table[[#This Row],[Date]]-1)+4),1,1)-2),7)+(7*IF(MOD((DATE(YEAR(Runhours_Table[[#This Row],[Date]]-WEEKDAY(Runhours_Table[[#This Row],[Date]]-1)+4),1,1)-2),7)&gt;3,1,0))+7)</f>
        <v>2024</v>
      </c>
      <c r="E34" s="164">
        <f>_xlfn.ISOWEEKNUM(Runhours_Table[[#This Row],[Date]])</f>
        <v>45</v>
      </c>
      <c r="F34" s="160" t="str">
        <f>RIGHT(YEAR(Runhours_Table[[#This Row],[Date]]),2)&amp;TEXT(_xlfn.ISOWEEKNUM(Runhours_Table[[#This Row],[Date]]),"00")</f>
        <v>2445</v>
      </c>
      <c r="G34" s="31">
        <v>1.1000000000000001</v>
      </c>
      <c r="H34" s="31">
        <v>16</v>
      </c>
      <c r="I34" s="38">
        <f ca="1">_xlfn.ISOWEEKNUM(Runhours_Table[[#This Row],[Date]])+52*(Runhours_Table[[#This Row],[Year]]-YEAR(DATE(YEAR(TODAY()-WEEKDAY(TODAY()-1)+4),1,1)-MOD((DATE(YEAR(TODAY()-WEEKDAY(TODAY()-1)+4),1,1)-2),7)+(7*IF(MOD((DATE(YEAR(TODAY()-WEEKDAY(TODAY()-1)+4),1,1)-2),7)&gt;3,1,0))+7) )-_xlfn.ISOWEEKNUM(NOW())</f>
        <v>-44</v>
      </c>
      <c r="J34" s="345"/>
      <c r="K34" s="216">
        <v>7</v>
      </c>
      <c r="L34" s="215">
        <f>COUNTIFS(Error_Log!E:E,"="&amp;TEXT(K34,"00"),Error_Log!U:U,"Y",Error_Log!A:A,"CR51")</f>
        <v>0</v>
      </c>
      <c r="M34" s="215">
        <f>COUNTIFS(Error_Log!E:E,"="&amp;TEXT(K34,"00"),Error_Log!A:A,"CR51")</f>
        <v>1</v>
      </c>
      <c r="N34" s="215">
        <f>COUNTIFS(Error_Log!E:E,"="&amp;TEXT(K34,"00"),Error_Log!U:U,"Y",Error_Log!A:A,"GY86")</f>
        <v>2</v>
      </c>
      <c r="O34" s="215">
        <f>COUNTIFS(Error_Log!E:E,"="&amp;TEXT(K34,"00"),Error_Log!A:A,"GY86")</f>
        <v>2</v>
      </c>
      <c r="P34" s="215">
        <f t="shared" si="1"/>
        <v>2</v>
      </c>
      <c r="Q34" s="215">
        <f t="shared" si="1"/>
        <v>3</v>
      </c>
    </row>
    <row r="35" spans="1:17">
      <c r="A35" s="218" t="s">
        <v>7</v>
      </c>
      <c r="B35" s="6" t="str">
        <f>VLOOKUP(A35,Fleet[],2,FALSE)</f>
        <v>Intel</v>
      </c>
      <c r="C35" s="160">
        <v>45601</v>
      </c>
      <c r="D35" s="346">
        <f>YEAR(DATE(YEAR(Runhours_Table[[#This Row],[Date]]-WEEKDAY(Runhours_Table[[#This Row],[Date]]-1)+4),1,1)-MOD((DATE(YEAR(Runhours_Table[[#This Row],[Date]]-WEEKDAY(Runhours_Table[[#This Row],[Date]]-1)+4),1,1)-2),7)+(7*IF(MOD((DATE(YEAR(Runhours_Table[[#This Row],[Date]]-WEEKDAY(Runhours_Table[[#This Row],[Date]]-1)+4),1,1)-2),7)&gt;3,1,0))+7)</f>
        <v>2024</v>
      </c>
      <c r="E35" s="164">
        <f>_xlfn.ISOWEEKNUM(Runhours_Table[[#This Row],[Date]])</f>
        <v>45</v>
      </c>
      <c r="F35" s="160" t="str">
        <f>RIGHT(YEAR(Runhours_Table[[#This Row],[Date]]),2)&amp;TEXT(_xlfn.ISOWEEKNUM(Runhours_Table[[#This Row],[Date]]),"00")</f>
        <v>2445</v>
      </c>
      <c r="G35" s="31">
        <v>0</v>
      </c>
      <c r="H35" s="31">
        <v>0</v>
      </c>
      <c r="I35" s="38">
        <f ca="1">_xlfn.ISOWEEKNUM(Runhours_Table[[#This Row],[Date]])+52*(Runhours_Table[[#This Row],[Year]]-YEAR(DATE(YEAR(TODAY()-WEEKDAY(TODAY()-1)+4),1,1)-MOD((DATE(YEAR(TODAY()-WEEKDAY(TODAY()-1)+4),1,1)-2),7)+(7*IF(MOD((DATE(YEAR(TODAY()-WEEKDAY(TODAY()-1)+4),1,1)-2),7)&gt;3,1,0))+7) )-_xlfn.ISOWEEKNUM(NOW())</f>
        <v>-44</v>
      </c>
      <c r="J35" s="345"/>
      <c r="K35" s="216">
        <v>8</v>
      </c>
      <c r="L35" s="215">
        <f>COUNTIFS(Error_Log!E:E,"="&amp;TEXT(K35,"00"),Error_Log!U:U,"Y",Error_Log!A:A,"CR51")</f>
        <v>0</v>
      </c>
      <c r="M35" s="215">
        <f>COUNTIFS(Error_Log!E:E,"="&amp;TEXT(K35,"00"),Error_Log!A:A,"CR51")</f>
        <v>0</v>
      </c>
      <c r="N35" s="215">
        <f>COUNTIFS(Error_Log!E:E,"="&amp;TEXT(K35,"00"),Error_Log!U:U,"Y",Error_Log!A:A,"GY86")</f>
        <v>3</v>
      </c>
      <c r="O35" s="215">
        <f>COUNTIFS(Error_Log!E:E,"="&amp;TEXT(K35,"00"),Error_Log!A:A,"GY86")</f>
        <v>4</v>
      </c>
      <c r="P35" s="215">
        <f t="shared" si="1"/>
        <v>3</v>
      </c>
      <c r="Q35" s="215">
        <f t="shared" si="1"/>
        <v>4</v>
      </c>
    </row>
    <row r="36" spans="1:17">
      <c r="A36" s="218" t="s">
        <v>4</v>
      </c>
      <c r="B36" s="6" t="str">
        <f>VLOOKUP(A36,Fleet[],2,FALSE)</f>
        <v>Intel</v>
      </c>
      <c r="C36" s="160">
        <v>45602</v>
      </c>
      <c r="D36" s="346">
        <f>YEAR(DATE(YEAR(Runhours_Table[[#This Row],[Date]]-WEEKDAY(Runhours_Table[[#This Row],[Date]]-1)+4),1,1)-MOD((DATE(YEAR(Runhours_Table[[#This Row],[Date]]-WEEKDAY(Runhours_Table[[#This Row],[Date]]-1)+4),1,1)-2),7)+(7*IF(MOD((DATE(YEAR(Runhours_Table[[#This Row],[Date]]-WEEKDAY(Runhours_Table[[#This Row],[Date]]-1)+4),1,1)-2),7)&gt;3,1,0))+7)</f>
        <v>2024</v>
      </c>
      <c r="E36" s="164">
        <f>_xlfn.ISOWEEKNUM(Runhours_Table[[#This Row],[Date]])</f>
        <v>45</v>
      </c>
      <c r="F36" s="160" t="str">
        <f>RIGHT(YEAR(Runhours_Table[[#This Row],[Date]]),2)&amp;TEXT(_xlfn.ISOWEEKNUM(Runhours_Table[[#This Row],[Date]]),"00")</f>
        <v>2445</v>
      </c>
      <c r="G36" s="31">
        <v>0.3</v>
      </c>
      <c r="H36" s="31">
        <v>11</v>
      </c>
      <c r="I36" s="38">
        <f ca="1">_xlfn.ISOWEEKNUM(Runhours_Table[[#This Row],[Date]])+52*(Runhours_Table[[#This Row],[Year]]-YEAR(DATE(YEAR(TODAY()-WEEKDAY(TODAY()-1)+4),1,1)-MOD((DATE(YEAR(TODAY()-WEEKDAY(TODAY()-1)+4),1,1)-2),7)+(7*IF(MOD((DATE(YEAR(TODAY()-WEEKDAY(TODAY()-1)+4),1,1)-2),7)&gt;3,1,0))+7) )-_xlfn.ISOWEEKNUM(NOW())</f>
        <v>-44</v>
      </c>
      <c r="J36" s="345"/>
      <c r="K36" s="216">
        <v>9</v>
      </c>
      <c r="L36" s="215">
        <f>COUNTIFS(Error_Log!E:E,"="&amp;TEXT(K36,"00"),Error_Log!U:U,"Y",Error_Log!A:A,"CR51")</f>
        <v>1</v>
      </c>
      <c r="M36" s="215">
        <f>COUNTIFS(Error_Log!E:E,"="&amp;TEXT(K36,"00"),Error_Log!A:A,"CR51")</f>
        <v>1</v>
      </c>
      <c r="N36" s="215">
        <f>COUNTIFS(Error_Log!E:E,"="&amp;TEXT(K36,"00"),Error_Log!U:U,"Y",Error_Log!A:A,"GY86")</f>
        <v>1</v>
      </c>
      <c r="O36" s="215">
        <f>COUNTIFS(Error_Log!E:E,"="&amp;TEXT(K36,"00"),Error_Log!A:A,"GY86")</f>
        <v>1</v>
      </c>
      <c r="P36" s="215">
        <f t="shared" si="1"/>
        <v>2</v>
      </c>
      <c r="Q36" s="215">
        <f t="shared" si="1"/>
        <v>2</v>
      </c>
    </row>
    <row r="37" spans="1:17">
      <c r="A37" s="218" t="s">
        <v>7</v>
      </c>
      <c r="B37" s="6" t="str">
        <f>VLOOKUP(A37,Fleet[],2,FALSE)</f>
        <v>Intel</v>
      </c>
      <c r="C37" s="160">
        <v>45602</v>
      </c>
      <c r="D37" s="346">
        <f>YEAR(DATE(YEAR(Runhours_Table[[#This Row],[Date]]-WEEKDAY(Runhours_Table[[#This Row],[Date]]-1)+4),1,1)-MOD((DATE(YEAR(Runhours_Table[[#This Row],[Date]]-WEEKDAY(Runhours_Table[[#This Row],[Date]]-1)+4),1,1)-2),7)+(7*IF(MOD((DATE(YEAR(Runhours_Table[[#This Row],[Date]]-WEEKDAY(Runhours_Table[[#This Row],[Date]]-1)+4),1,1)-2),7)&gt;3,1,0))+7)</f>
        <v>2024</v>
      </c>
      <c r="E37" s="164">
        <f>_xlfn.ISOWEEKNUM(Runhours_Table[[#This Row],[Date]])</f>
        <v>45</v>
      </c>
      <c r="F37" s="160" t="str">
        <f>RIGHT(YEAR(Runhours_Table[[#This Row],[Date]]),2)&amp;TEXT(_xlfn.ISOWEEKNUM(Runhours_Table[[#This Row],[Date]]),"00")</f>
        <v>2445</v>
      </c>
      <c r="G37" s="31">
        <v>0</v>
      </c>
      <c r="H37" s="31">
        <v>0</v>
      </c>
      <c r="I37" s="38">
        <f ca="1">_xlfn.ISOWEEKNUM(Runhours_Table[[#This Row],[Date]])+52*(Runhours_Table[[#This Row],[Year]]-YEAR(DATE(YEAR(TODAY()-WEEKDAY(TODAY()-1)+4),1,1)-MOD((DATE(YEAR(TODAY()-WEEKDAY(TODAY()-1)+4),1,1)-2),7)+(7*IF(MOD((DATE(YEAR(TODAY()-WEEKDAY(TODAY()-1)+4),1,1)-2),7)&gt;3,1,0))+7) )-_xlfn.ISOWEEKNUM(NOW())</f>
        <v>-44</v>
      </c>
      <c r="J37" s="345"/>
      <c r="K37" s="216">
        <v>10</v>
      </c>
      <c r="L37" s="215">
        <f>COUNTIFS(Error_Log!E:E,"="&amp;TEXT(K37,"00"),Error_Log!U:U,"Y",Error_Log!A:A,"CR51")</f>
        <v>3</v>
      </c>
      <c r="M37" s="215">
        <f>COUNTIFS(Error_Log!E:E,"="&amp;TEXT(K37,"00"),Error_Log!A:A,"CR51")</f>
        <v>3</v>
      </c>
      <c r="N37" s="215">
        <f>COUNTIFS(Error_Log!E:E,"="&amp;TEXT(K37,"00"),Error_Log!U:U,"Y",Error_Log!A:A,"GY86")</f>
        <v>0</v>
      </c>
      <c r="O37" s="215">
        <f>COUNTIFS(Error_Log!E:E,"="&amp;TEXT(K37,"00"),Error_Log!A:A,"GY86")</f>
        <v>0</v>
      </c>
      <c r="P37" s="215">
        <f t="shared" si="1"/>
        <v>3</v>
      </c>
      <c r="Q37" s="215">
        <f t="shared" si="1"/>
        <v>3</v>
      </c>
    </row>
    <row r="38" spans="1:17">
      <c r="A38" s="218" t="s">
        <v>4</v>
      </c>
      <c r="B38" s="6" t="str">
        <f>VLOOKUP(A38,Fleet[],2,FALSE)</f>
        <v>Intel</v>
      </c>
      <c r="C38" s="160">
        <v>45603</v>
      </c>
      <c r="D38" s="346">
        <f>YEAR(DATE(YEAR(Runhours_Table[[#This Row],[Date]]-WEEKDAY(Runhours_Table[[#This Row],[Date]]-1)+4),1,1)-MOD((DATE(YEAR(Runhours_Table[[#This Row],[Date]]-WEEKDAY(Runhours_Table[[#This Row],[Date]]-1)+4),1,1)-2),7)+(7*IF(MOD((DATE(YEAR(Runhours_Table[[#This Row],[Date]]-WEEKDAY(Runhours_Table[[#This Row],[Date]]-1)+4),1,1)-2),7)&gt;3,1,0))+7)</f>
        <v>2024</v>
      </c>
      <c r="E38" s="164">
        <f>_xlfn.ISOWEEKNUM(Runhours_Table[[#This Row],[Date]])</f>
        <v>45</v>
      </c>
      <c r="F38" s="160" t="str">
        <f>RIGHT(YEAR(Runhours_Table[[#This Row],[Date]]),2)&amp;TEXT(_xlfn.ISOWEEKNUM(Runhours_Table[[#This Row],[Date]]),"00")</f>
        <v>2445</v>
      </c>
      <c r="G38" s="31">
        <v>2.9</v>
      </c>
      <c r="H38" s="31">
        <v>16</v>
      </c>
      <c r="I38" s="38">
        <f ca="1">_xlfn.ISOWEEKNUM(Runhours_Table[[#This Row],[Date]])+52*(Runhours_Table[[#This Row],[Year]]-YEAR(DATE(YEAR(TODAY()-WEEKDAY(TODAY()-1)+4),1,1)-MOD((DATE(YEAR(TODAY()-WEEKDAY(TODAY()-1)+4),1,1)-2),7)+(7*IF(MOD((DATE(YEAR(TODAY()-WEEKDAY(TODAY()-1)+4),1,1)-2),7)&gt;3,1,0))+7) )-_xlfn.ISOWEEKNUM(NOW())</f>
        <v>-44</v>
      </c>
      <c r="J38" s="345"/>
      <c r="K38" s="216">
        <v>11</v>
      </c>
      <c r="L38" s="215">
        <f>COUNTIFS(Error_Log!E:E,"="&amp;TEXT(K38,"00"),Error_Log!U:U,"Y",Error_Log!A:A,"CR51")</f>
        <v>1</v>
      </c>
      <c r="M38" s="215">
        <f>COUNTIFS(Error_Log!E:E,"="&amp;TEXT(K38,"00"),Error_Log!A:A,"CR51")</f>
        <v>2</v>
      </c>
      <c r="N38" s="215">
        <f>COUNTIFS(Error_Log!E:E,"="&amp;TEXT(K38,"00"),Error_Log!U:U,"Y",Error_Log!A:A,"GY86")</f>
        <v>4</v>
      </c>
      <c r="O38" s="215">
        <f>COUNTIFS(Error_Log!E:E,"="&amp;TEXT(K38,"00"),Error_Log!A:A,"GY86")</f>
        <v>6</v>
      </c>
      <c r="P38" s="215">
        <f t="shared" si="1"/>
        <v>5</v>
      </c>
      <c r="Q38" s="215">
        <f t="shared" si="1"/>
        <v>8</v>
      </c>
    </row>
    <row r="39" spans="1:17">
      <c r="A39" s="218" t="s">
        <v>7</v>
      </c>
      <c r="B39" s="6" t="str">
        <f>VLOOKUP(A39,Fleet[],2,FALSE)</f>
        <v>Intel</v>
      </c>
      <c r="C39" s="160">
        <v>45603</v>
      </c>
      <c r="D39" s="346">
        <f>YEAR(DATE(YEAR(Runhours_Table[[#This Row],[Date]]-WEEKDAY(Runhours_Table[[#This Row],[Date]]-1)+4),1,1)-MOD((DATE(YEAR(Runhours_Table[[#This Row],[Date]]-WEEKDAY(Runhours_Table[[#This Row],[Date]]-1)+4),1,1)-2),7)+(7*IF(MOD((DATE(YEAR(Runhours_Table[[#This Row],[Date]]-WEEKDAY(Runhours_Table[[#This Row],[Date]]-1)+4),1,1)-2),7)&gt;3,1,0))+7)</f>
        <v>2024</v>
      </c>
      <c r="E39" s="164">
        <f>_xlfn.ISOWEEKNUM(Runhours_Table[[#This Row],[Date]])</f>
        <v>45</v>
      </c>
      <c r="F39" s="160" t="str">
        <f>RIGHT(YEAR(Runhours_Table[[#This Row],[Date]]),2)&amp;TEXT(_xlfn.ISOWEEKNUM(Runhours_Table[[#This Row],[Date]]),"00")</f>
        <v>2445</v>
      </c>
      <c r="G39" s="31">
        <v>0</v>
      </c>
      <c r="H39" s="31">
        <v>0</v>
      </c>
      <c r="I39" s="38">
        <f ca="1">_xlfn.ISOWEEKNUM(Runhours_Table[[#This Row],[Date]])+52*(Runhours_Table[[#This Row],[Year]]-YEAR(DATE(YEAR(TODAY()-WEEKDAY(TODAY()-1)+4),1,1)-MOD((DATE(YEAR(TODAY()-WEEKDAY(TODAY()-1)+4),1,1)-2),7)+(7*IF(MOD((DATE(YEAR(TODAY()-WEEKDAY(TODAY()-1)+4),1,1)-2),7)&gt;3,1,0))+7) )-_xlfn.ISOWEEKNUM(NOW())</f>
        <v>-44</v>
      </c>
      <c r="J39" s="345"/>
      <c r="K39" s="216">
        <v>12</v>
      </c>
      <c r="L39" s="215">
        <f>COUNTIFS(Error_Log!E:E,"="&amp;TEXT(K39,"00"),Error_Log!U:U,"Y",Error_Log!A:A,"CR51")</f>
        <v>2</v>
      </c>
      <c r="M39" s="215">
        <f>COUNTIFS(Error_Log!E:E,"="&amp;TEXT(K39,"00"),Error_Log!A:A,"CR51")</f>
        <v>3</v>
      </c>
      <c r="N39" s="215">
        <f>COUNTIFS(Error_Log!E:E,"="&amp;TEXT(K39,"00"),Error_Log!U:U,"Y",Error_Log!A:A,"GY86")</f>
        <v>1</v>
      </c>
      <c r="O39" s="215">
        <f>COUNTIFS(Error_Log!E:E,"="&amp;TEXT(K39,"00"),Error_Log!A:A,"GY86")</f>
        <v>2</v>
      </c>
      <c r="P39" s="215">
        <f t="shared" si="1"/>
        <v>3</v>
      </c>
      <c r="Q39" s="215">
        <f t="shared" si="1"/>
        <v>5</v>
      </c>
    </row>
    <row r="40" spans="1:17">
      <c r="A40" s="218" t="s">
        <v>4</v>
      </c>
      <c r="B40" s="6" t="str">
        <f>VLOOKUP(A40,Fleet[],2,FALSE)</f>
        <v>Intel</v>
      </c>
      <c r="C40" s="160">
        <v>45604</v>
      </c>
      <c r="D40" s="346">
        <f>YEAR(DATE(YEAR(Runhours_Table[[#This Row],[Date]]-WEEKDAY(Runhours_Table[[#This Row],[Date]]-1)+4),1,1)-MOD((DATE(YEAR(Runhours_Table[[#This Row],[Date]]-WEEKDAY(Runhours_Table[[#This Row],[Date]]-1)+4),1,1)-2),7)+(7*IF(MOD((DATE(YEAR(Runhours_Table[[#This Row],[Date]]-WEEKDAY(Runhours_Table[[#This Row],[Date]]-1)+4),1,1)-2),7)&gt;3,1,0))+7)</f>
        <v>2024</v>
      </c>
      <c r="E40" s="164">
        <f>_xlfn.ISOWEEKNUM(Runhours_Table[[#This Row],[Date]])</f>
        <v>45</v>
      </c>
      <c r="F40" s="160" t="str">
        <f>RIGHT(YEAR(Runhours_Table[[#This Row],[Date]]),2)&amp;TEXT(_xlfn.ISOWEEKNUM(Runhours_Table[[#This Row],[Date]]),"00")</f>
        <v>2445</v>
      </c>
      <c r="G40" s="31">
        <v>0</v>
      </c>
      <c r="H40" s="31">
        <v>0</v>
      </c>
      <c r="I40" s="38">
        <f ca="1">_xlfn.ISOWEEKNUM(Runhours_Table[[#This Row],[Date]])+52*(Runhours_Table[[#This Row],[Year]]-YEAR(DATE(YEAR(TODAY()-WEEKDAY(TODAY()-1)+4),1,1)-MOD((DATE(YEAR(TODAY()-WEEKDAY(TODAY()-1)+4),1,1)-2),7)+(7*IF(MOD((DATE(YEAR(TODAY()-WEEKDAY(TODAY()-1)+4),1,1)-2),7)&gt;3,1,0))+7) )-_xlfn.ISOWEEKNUM(NOW())</f>
        <v>-44</v>
      </c>
      <c r="J40" s="345"/>
      <c r="K40" s="216">
        <v>13</v>
      </c>
      <c r="L40" s="215">
        <f>COUNTIFS(Error_Log!E:E,"="&amp;TEXT(K40,"00"),Error_Log!U:U,"Y",Error_Log!A:A,"CR51")</f>
        <v>2</v>
      </c>
      <c r="M40" s="215">
        <f>COUNTIFS(Error_Log!E:E,"="&amp;TEXT(K40,"00"),Error_Log!A:A,"CR51")</f>
        <v>2</v>
      </c>
      <c r="N40" s="215">
        <f>COUNTIFS(Error_Log!E:E,"="&amp;TEXT(K40,"00"),Error_Log!U:U,"Y",Error_Log!A:A,"GY86")</f>
        <v>1</v>
      </c>
      <c r="O40" s="215">
        <f>COUNTIFS(Error_Log!E:E,"="&amp;TEXT(K40,"00"),Error_Log!A:A,"GY86")</f>
        <v>1</v>
      </c>
      <c r="P40" s="215">
        <f t="shared" si="1"/>
        <v>3</v>
      </c>
      <c r="Q40" s="215">
        <f t="shared" si="1"/>
        <v>3</v>
      </c>
    </row>
    <row r="41" spans="1:17">
      <c r="A41" s="218" t="s">
        <v>7</v>
      </c>
      <c r="B41" s="6" t="str">
        <f>VLOOKUP(A41,Fleet[],2,FALSE)</f>
        <v>Intel</v>
      </c>
      <c r="C41" s="160">
        <v>45604</v>
      </c>
      <c r="D41" s="346">
        <f>YEAR(DATE(YEAR(Runhours_Table[[#This Row],[Date]]-WEEKDAY(Runhours_Table[[#This Row],[Date]]-1)+4),1,1)-MOD((DATE(YEAR(Runhours_Table[[#This Row],[Date]]-WEEKDAY(Runhours_Table[[#This Row],[Date]]-1)+4),1,1)-2),7)+(7*IF(MOD((DATE(YEAR(Runhours_Table[[#This Row],[Date]]-WEEKDAY(Runhours_Table[[#This Row],[Date]]-1)+4),1,1)-2),7)&gt;3,1,0))+7)</f>
        <v>2024</v>
      </c>
      <c r="E41" s="164">
        <f>_xlfn.ISOWEEKNUM(Runhours_Table[[#This Row],[Date]])</f>
        <v>45</v>
      </c>
      <c r="F41" s="160" t="str">
        <f>RIGHT(YEAR(Runhours_Table[[#This Row],[Date]]),2)&amp;TEXT(_xlfn.ISOWEEKNUM(Runhours_Table[[#This Row],[Date]]),"00")</f>
        <v>2445</v>
      </c>
      <c r="G41" s="31">
        <v>0</v>
      </c>
      <c r="H41" s="31">
        <v>0</v>
      </c>
      <c r="I41" s="38">
        <f ca="1">_xlfn.ISOWEEKNUM(Runhours_Table[[#This Row],[Date]])+52*(Runhours_Table[[#This Row],[Year]]-YEAR(DATE(YEAR(TODAY()-WEEKDAY(TODAY()-1)+4),1,1)-MOD((DATE(YEAR(TODAY()-WEEKDAY(TODAY()-1)+4),1,1)-2),7)+(7*IF(MOD((DATE(YEAR(TODAY()-WEEKDAY(TODAY()-1)+4),1,1)-2),7)&gt;3,1,0))+7) )-_xlfn.ISOWEEKNUM(NOW())</f>
        <v>-44</v>
      </c>
      <c r="J41" s="345"/>
      <c r="K41" s="216">
        <v>14</v>
      </c>
      <c r="L41" s="215">
        <f>COUNTIFS(Error_Log!E:E,"="&amp;TEXT(K41,"00"),Error_Log!U:U,"Y",Error_Log!A:A,"CR51")</f>
        <v>7</v>
      </c>
      <c r="M41" s="215">
        <f>COUNTIFS(Error_Log!E:E,"="&amp;TEXT(K41,"00"),Error_Log!A:A,"CR51")</f>
        <v>7</v>
      </c>
      <c r="N41" s="215">
        <f>COUNTIFS(Error_Log!E:E,"="&amp;TEXT(K41,"00"),Error_Log!U:U,"Y",Error_Log!A:A,"GY86")</f>
        <v>4</v>
      </c>
      <c r="O41" s="215">
        <f>COUNTIFS(Error_Log!E:E,"="&amp;TEXT(K41,"00"),Error_Log!A:A,"GY86")</f>
        <v>4</v>
      </c>
      <c r="P41" s="215">
        <f t="shared" si="1"/>
        <v>11</v>
      </c>
      <c r="Q41" s="215">
        <f t="shared" si="1"/>
        <v>11</v>
      </c>
    </row>
    <row r="42" spans="1:17">
      <c r="A42" s="218" t="s">
        <v>4</v>
      </c>
      <c r="B42" s="6" t="str">
        <f>VLOOKUP(A42,Fleet[],2,FALSE)</f>
        <v>Intel</v>
      </c>
      <c r="C42" s="160">
        <v>45605</v>
      </c>
      <c r="D42" s="346">
        <f>YEAR(DATE(YEAR(Runhours_Table[[#This Row],[Date]]-WEEKDAY(Runhours_Table[[#This Row],[Date]]-1)+4),1,1)-MOD((DATE(YEAR(Runhours_Table[[#This Row],[Date]]-WEEKDAY(Runhours_Table[[#This Row],[Date]]-1)+4),1,1)-2),7)+(7*IF(MOD((DATE(YEAR(Runhours_Table[[#This Row],[Date]]-WEEKDAY(Runhours_Table[[#This Row],[Date]]-1)+4),1,1)-2),7)&gt;3,1,0))+7)</f>
        <v>2024</v>
      </c>
      <c r="E42" s="164">
        <f>_xlfn.ISOWEEKNUM(Runhours_Table[[#This Row],[Date]])</f>
        <v>45</v>
      </c>
      <c r="F42" s="160" t="str">
        <f>RIGHT(YEAR(Runhours_Table[[#This Row],[Date]]),2)&amp;TEXT(_xlfn.ISOWEEKNUM(Runhours_Table[[#This Row],[Date]]),"00")</f>
        <v>2445</v>
      </c>
      <c r="G42" s="31">
        <v>1.3</v>
      </c>
      <c r="H42" s="31">
        <v>10</v>
      </c>
      <c r="I42" s="38">
        <f ca="1">_xlfn.ISOWEEKNUM(Runhours_Table[[#This Row],[Date]])+52*(Runhours_Table[[#This Row],[Year]]-YEAR(DATE(YEAR(TODAY()-WEEKDAY(TODAY()-1)+4),1,1)-MOD((DATE(YEAR(TODAY()-WEEKDAY(TODAY()-1)+4),1,1)-2),7)+(7*IF(MOD((DATE(YEAR(TODAY()-WEEKDAY(TODAY()-1)+4),1,1)-2),7)&gt;3,1,0))+7) )-_xlfn.ISOWEEKNUM(NOW())</f>
        <v>-44</v>
      </c>
      <c r="J42" s="345"/>
      <c r="K42" s="216">
        <v>15</v>
      </c>
      <c r="L42" s="215">
        <f>COUNTIFS(Error_Log!E:E,"="&amp;TEXT(K42,"00"),Error_Log!U:U,"Y",Error_Log!A:A,"CR51")</f>
        <v>1</v>
      </c>
      <c r="M42" s="215">
        <f>COUNTIFS(Error_Log!E:E,"="&amp;TEXT(K42,"00"),Error_Log!A:A,"CR51")</f>
        <v>1</v>
      </c>
      <c r="N42" s="215">
        <f>COUNTIFS(Error_Log!E:E,"="&amp;TEXT(K42,"00"),Error_Log!U:U,"Y",Error_Log!A:A,"GY86")</f>
        <v>1</v>
      </c>
      <c r="O42" s="215">
        <f>COUNTIFS(Error_Log!E:E,"="&amp;TEXT(K42,"00"),Error_Log!A:A,"GY86")</f>
        <v>2</v>
      </c>
      <c r="P42" s="215">
        <f t="shared" si="1"/>
        <v>2</v>
      </c>
      <c r="Q42" s="215">
        <f t="shared" si="1"/>
        <v>3</v>
      </c>
    </row>
    <row r="43" spans="1:17">
      <c r="A43" s="218" t="s">
        <v>7</v>
      </c>
      <c r="B43" s="6" t="str">
        <f>VLOOKUP(A43,Fleet[],2,FALSE)</f>
        <v>Intel</v>
      </c>
      <c r="C43" s="160">
        <v>45605</v>
      </c>
      <c r="D43" s="346">
        <f>YEAR(DATE(YEAR(Runhours_Table[[#This Row],[Date]]-WEEKDAY(Runhours_Table[[#This Row],[Date]]-1)+4),1,1)-MOD((DATE(YEAR(Runhours_Table[[#This Row],[Date]]-WEEKDAY(Runhours_Table[[#This Row],[Date]]-1)+4),1,1)-2),7)+(7*IF(MOD((DATE(YEAR(Runhours_Table[[#This Row],[Date]]-WEEKDAY(Runhours_Table[[#This Row],[Date]]-1)+4),1,1)-2),7)&gt;3,1,0))+7)</f>
        <v>2024</v>
      </c>
      <c r="E43" s="164">
        <f>_xlfn.ISOWEEKNUM(Runhours_Table[[#This Row],[Date]])</f>
        <v>45</v>
      </c>
      <c r="F43" s="160" t="str">
        <f>RIGHT(YEAR(Runhours_Table[[#This Row],[Date]]),2)&amp;TEXT(_xlfn.ISOWEEKNUM(Runhours_Table[[#This Row],[Date]]),"00")</f>
        <v>2445</v>
      </c>
      <c r="G43" s="31">
        <v>0</v>
      </c>
      <c r="H43" s="31">
        <v>0</v>
      </c>
      <c r="I43" s="38">
        <f ca="1">_xlfn.ISOWEEKNUM(Runhours_Table[[#This Row],[Date]])+52*(Runhours_Table[[#This Row],[Year]]-YEAR(DATE(YEAR(TODAY()-WEEKDAY(TODAY()-1)+4),1,1)-MOD((DATE(YEAR(TODAY()-WEEKDAY(TODAY()-1)+4),1,1)-2),7)+(7*IF(MOD((DATE(YEAR(TODAY()-WEEKDAY(TODAY()-1)+4),1,1)-2),7)&gt;3,1,0))+7) )-_xlfn.ISOWEEKNUM(NOW())</f>
        <v>-44</v>
      </c>
      <c r="J43" s="345"/>
      <c r="K43" s="216">
        <v>16</v>
      </c>
      <c r="L43" s="215">
        <f>COUNTIFS(Error_Log!E:E,"="&amp;TEXT(K43,"00"),Error_Log!U:U,"Y",Error_Log!A:A,"CR51")</f>
        <v>0</v>
      </c>
      <c r="M43" s="215">
        <f>COUNTIFS(Error_Log!E:E,"="&amp;TEXT(K43,"00"),Error_Log!A:A,"CR51")</f>
        <v>2</v>
      </c>
      <c r="N43" s="215">
        <f>COUNTIFS(Error_Log!E:E,"="&amp;TEXT(K43,"00"),Error_Log!U:U,"Y",Error_Log!A:A,"GY86")</f>
        <v>1</v>
      </c>
      <c r="O43" s="215">
        <f>COUNTIFS(Error_Log!E:E,"="&amp;TEXT(K43,"00"),Error_Log!A:A,"GY86")</f>
        <v>1</v>
      </c>
      <c r="P43" s="215">
        <f t="shared" si="1"/>
        <v>1</v>
      </c>
      <c r="Q43" s="215">
        <f t="shared" si="1"/>
        <v>3</v>
      </c>
    </row>
    <row r="44" spans="1:17">
      <c r="A44" s="218" t="s">
        <v>4</v>
      </c>
      <c r="B44" s="6" t="str">
        <f>VLOOKUP(A44,Fleet[],2,FALSE)</f>
        <v>Intel</v>
      </c>
      <c r="C44" s="160">
        <v>45606</v>
      </c>
      <c r="D44" s="346">
        <f>YEAR(DATE(YEAR(Runhours_Table[[#This Row],[Date]]-WEEKDAY(Runhours_Table[[#This Row],[Date]]-1)+4),1,1)-MOD((DATE(YEAR(Runhours_Table[[#This Row],[Date]]-WEEKDAY(Runhours_Table[[#This Row],[Date]]-1)+4),1,1)-2),7)+(7*IF(MOD((DATE(YEAR(Runhours_Table[[#This Row],[Date]]-WEEKDAY(Runhours_Table[[#This Row],[Date]]-1)+4),1,1)-2),7)&gt;3,1,0))+7)</f>
        <v>2024</v>
      </c>
      <c r="E44" s="164">
        <f>_xlfn.ISOWEEKNUM(Runhours_Table[[#This Row],[Date]])</f>
        <v>45</v>
      </c>
      <c r="F44" s="160" t="str">
        <f>RIGHT(YEAR(Runhours_Table[[#This Row],[Date]]),2)&amp;TEXT(_xlfn.ISOWEEKNUM(Runhours_Table[[#This Row],[Date]]),"00")</f>
        <v>2445</v>
      </c>
      <c r="G44" s="31">
        <v>3.8</v>
      </c>
      <c r="H44" s="31">
        <v>13</v>
      </c>
      <c r="I44" s="38">
        <f ca="1">_xlfn.ISOWEEKNUM(Runhours_Table[[#This Row],[Date]])+52*(Runhours_Table[[#This Row],[Year]]-YEAR(DATE(YEAR(TODAY()-WEEKDAY(TODAY()-1)+4),1,1)-MOD((DATE(YEAR(TODAY()-WEEKDAY(TODAY()-1)+4),1,1)-2),7)+(7*IF(MOD((DATE(YEAR(TODAY()-WEEKDAY(TODAY()-1)+4),1,1)-2),7)&gt;3,1,0))+7) )-_xlfn.ISOWEEKNUM(NOW())</f>
        <v>-44</v>
      </c>
      <c r="J44" s="345"/>
      <c r="K44" s="216">
        <v>17</v>
      </c>
      <c r="L44" s="215">
        <f>COUNTIFS(Error_Log!E:E,"="&amp;TEXT(K44,"00"),Error_Log!U:U,"Y",Error_Log!A:A,"CR51")</f>
        <v>1</v>
      </c>
      <c r="M44" s="215">
        <f>COUNTIFS(Error_Log!E:E,"="&amp;TEXT(K44,"00"),Error_Log!A:A,"CR51")</f>
        <v>3</v>
      </c>
      <c r="N44" s="215">
        <f>COUNTIFS(Error_Log!E:E,"="&amp;TEXT(K44,"00"),Error_Log!U:U,"Y",Error_Log!A:A,"GY86")</f>
        <v>1</v>
      </c>
      <c r="O44" s="215">
        <f>COUNTIFS(Error_Log!E:E,"="&amp;TEXT(K44,"00"),Error_Log!A:A,"GY86")</f>
        <v>1</v>
      </c>
      <c r="P44" s="215">
        <f t="shared" si="1"/>
        <v>2</v>
      </c>
      <c r="Q44" s="215">
        <f t="shared" si="1"/>
        <v>4</v>
      </c>
    </row>
    <row r="45" spans="1:17">
      <c r="A45" s="218" t="s">
        <v>7</v>
      </c>
      <c r="B45" s="6" t="str">
        <f>VLOOKUP(A45,Fleet[],2,FALSE)</f>
        <v>Intel</v>
      </c>
      <c r="C45" s="160">
        <v>45606</v>
      </c>
      <c r="D45" s="346">
        <f>YEAR(DATE(YEAR(Runhours_Table[[#This Row],[Date]]-WEEKDAY(Runhours_Table[[#This Row],[Date]]-1)+4),1,1)-MOD((DATE(YEAR(Runhours_Table[[#This Row],[Date]]-WEEKDAY(Runhours_Table[[#This Row],[Date]]-1)+4),1,1)-2),7)+(7*IF(MOD((DATE(YEAR(Runhours_Table[[#This Row],[Date]]-WEEKDAY(Runhours_Table[[#This Row],[Date]]-1)+4),1,1)-2),7)&gt;3,1,0))+7)</f>
        <v>2024</v>
      </c>
      <c r="E45" s="164">
        <f>_xlfn.ISOWEEKNUM(Runhours_Table[[#This Row],[Date]])</f>
        <v>45</v>
      </c>
      <c r="F45" s="160" t="str">
        <f>RIGHT(YEAR(Runhours_Table[[#This Row],[Date]]),2)&amp;TEXT(_xlfn.ISOWEEKNUM(Runhours_Table[[#This Row],[Date]]),"00")</f>
        <v>2445</v>
      </c>
      <c r="G45" s="31">
        <v>0</v>
      </c>
      <c r="H45" s="31">
        <v>0</v>
      </c>
      <c r="I45" s="38">
        <f ca="1">_xlfn.ISOWEEKNUM(Runhours_Table[[#This Row],[Date]])+52*(Runhours_Table[[#This Row],[Year]]-YEAR(DATE(YEAR(TODAY()-WEEKDAY(TODAY()-1)+4),1,1)-MOD((DATE(YEAR(TODAY()-WEEKDAY(TODAY()-1)+4),1,1)-2),7)+(7*IF(MOD((DATE(YEAR(TODAY()-WEEKDAY(TODAY()-1)+4),1,1)-2),7)&gt;3,1,0))+7) )-_xlfn.ISOWEEKNUM(NOW())</f>
        <v>-44</v>
      </c>
      <c r="J45" s="345"/>
      <c r="K45" s="216">
        <v>18</v>
      </c>
      <c r="L45" s="215">
        <f>COUNTIFS(Error_Log!E:E,"="&amp;TEXT(K45,"00"),Error_Log!U:U,"Y",Error_Log!A:A,"CR51")</f>
        <v>1</v>
      </c>
      <c r="M45" s="215">
        <f>COUNTIFS(Error_Log!E:E,"="&amp;TEXT(K45,"00"),Error_Log!A:A,"CR51")</f>
        <v>2</v>
      </c>
      <c r="N45" s="215">
        <f>COUNTIFS(Error_Log!E:E,"="&amp;TEXT(K45,"00"),Error_Log!U:U,"Y",Error_Log!A:A,"GY86")</f>
        <v>0</v>
      </c>
      <c r="O45" s="215">
        <f>COUNTIFS(Error_Log!E:E,"="&amp;TEXT(K45,"00"),Error_Log!A:A,"GY86")</f>
        <v>1</v>
      </c>
      <c r="P45" s="215">
        <f t="shared" si="1"/>
        <v>1</v>
      </c>
      <c r="Q45" s="215">
        <f t="shared" si="1"/>
        <v>3</v>
      </c>
    </row>
    <row r="46" spans="1:17">
      <c r="A46" s="218" t="s">
        <v>4</v>
      </c>
      <c r="B46" s="6" t="str">
        <f>VLOOKUP(A46,Fleet[],2,FALSE)</f>
        <v>Intel</v>
      </c>
      <c r="C46" s="160">
        <v>45607</v>
      </c>
      <c r="D46" s="346">
        <f>YEAR(DATE(YEAR(Runhours_Table[[#This Row],[Date]]-WEEKDAY(Runhours_Table[[#This Row],[Date]]-1)+4),1,1)-MOD((DATE(YEAR(Runhours_Table[[#This Row],[Date]]-WEEKDAY(Runhours_Table[[#This Row],[Date]]-1)+4),1,1)-2),7)+(7*IF(MOD((DATE(YEAR(Runhours_Table[[#This Row],[Date]]-WEEKDAY(Runhours_Table[[#This Row],[Date]]-1)+4),1,1)-2),7)&gt;3,1,0))+7)</f>
        <v>2024</v>
      </c>
      <c r="E46" s="164">
        <f>_xlfn.ISOWEEKNUM(Runhours_Table[[#This Row],[Date]])</f>
        <v>46</v>
      </c>
      <c r="F46" s="160" t="str">
        <f>RIGHT(YEAR(Runhours_Table[[#This Row],[Date]]),2)&amp;TEXT(_xlfn.ISOWEEKNUM(Runhours_Table[[#This Row],[Date]]),"00")</f>
        <v>2446</v>
      </c>
      <c r="G46" s="31">
        <v>0.7</v>
      </c>
      <c r="H46" s="31">
        <v>5</v>
      </c>
      <c r="I46" s="38">
        <f ca="1">_xlfn.ISOWEEKNUM(Runhours_Table[[#This Row],[Date]])+52*(Runhours_Table[[#This Row],[Year]]-YEAR(DATE(YEAR(TODAY()-WEEKDAY(TODAY()-1)+4),1,1)-MOD((DATE(YEAR(TODAY()-WEEKDAY(TODAY()-1)+4),1,1)-2),7)+(7*IF(MOD((DATE(YEAR(TODAY()-WEEKDAY(TODAY()-1)+4),1,1)-2),7)&gt;3,1,0))+7) )-_xlfn.ISOWEEKNUM(NOW())</f>
        <v>-43</v>
      </c>
      <c r="J46" s="345"/>
      <c r="K46" s="216">
        <v>19</v>
      </c>
      <c r="L46" s="215">
        <f>COUNTIFS(Error_Log!E:E,"="&amp;TEXT(K46,"00"),Error_Log!U:U,"Y",Error_Log!A:A,"CR51")</f>
        <v>1</v>
      </c>
      <c r="M46" s="215">
        <f>COUNTIFS(Error_Log!E:E,"="&amp;TEXT(K46,"00"),Error_Log!A:A,"CR51")</f>
        <v>2</v>
      </c>
      <c r="N46" s="215">
        <f>COUNTIFS(Error_Log!E:E,"="&amp;TEXT(K46,"00"),Error_Log!U:U,"Y",Error_Log!A:A,"GY86")</f>
        <v>0</v>
      </c>
      <c r="O46" s="215">
        <f>COUNTIFS(Error_Log!E:E,"="&amp;TEXT(K46,"00"),Error_Log!A:A,"GY86")</f>
        <v>0</v>
      </c>
      <c r="P46" s="215">
        <f t="shared" si="1"/>
        <v>1</v>
      </c>
      <c r="Q46" s="215">
        <f t="shared" si="1"/>
        <v>2</v>
      </c>
    </row>
    <row r="47" spans="1:17">
      <c r="A47" s="218" t="s">
        <v>7</v>
      </c>
      <c r="B47" s="6" t="str">
        <f>VLOOKUP(A47,Fleet[],2,FALSE)</f>
        <v>Intel</v>
      </c>
      <c r="C47" s="160">
        <v>45607</v>
      </c>
      <c r="D47" s="346">
        <f>YEAR(DATE(YEAR(Runhours_Table[[#This Row],[Date]]-WEEKDAY(Runhours_Table[[#This Row],[Date]]-1)+4),1,1)-MOD((DATE(YEAR(Runhours_Table[[#This Row],[Date]]-WEEKDAY(Runhours_Table[[#This Row],[Date]]-1)+4),1,1)-2),7)+(7*IF(MOD((DATE(YEAR(Runhours_Table[[#This Row],[Date]]-WEEKDAY(Runhours_Table[[#This Row],[Date]]-1)+4),1,1)-2),7)&gt;3,1,0))+7)</f>
        <v>2024</v>
      </c>
      <c r="E47" s="164">
        <f>_xlfn.ISOWEEKNUM(Runhours_Table[[#This Row],[Date]])</f>
        <v>46</v>
      </c>
      <c r="F47" s="160" t="str">
        <f>RIGHT(YEAR(Runhours_Table[[#This Row],[Date]]),2)&amp;TEXT(_xlfn.ISOWEEKNUM(Runhours_Table[[#This Row],[Date]]),"00")</f>
        <v>2446</v>
      </c>
      <c r="G47" s="31">
        <v>0</v>
      </c>
      <c r="H47" s="31">
        <v>0</v>
      </c>
      <c r="I47" s="38">
        <f ca="1">_xlfn.ISOWEEKNUM(Runhours_Table[[#This Row],[Date]])+52*(Runhours_Table[[#This Row],[Year]]-YEAR(DATE(YEAR(TODAY()-WEEKDAY(TODAY()-1)+4),1,1)-MOD((DATE(YEAR(TODAY()-WEEKDAY(TODAY()-1)+4),1,1)-2),7)+(7*IF(MOD((DATE(YEAR(TODAY()-WEEKDAY(TODAY()-1)+4),1,1)-2),7)&gt;3,1,0))+7) )-_xlfn.ISOWEEKNUM(NOW())</f>
        <v>-43</v>
      </c>
      <c r="J47" s="345"/>
      <c r="K47" s="216">
        <v>20</v>
      </c>
      <c r="L47" s="215">
        <f>COUNTIFS(Error_Log!E:E,"="&amp;TEXT(K47,"00"),Error_Log!U:U,"Y",Error_Log!A:A,"CR51")</f>
        <v>0</v>
      </c>
      <c r="M47" s="215">
        <f>COUNTIFS(Error_Log!E:E,"="&amp;TEXT(K47,"00"),Error_Log!A:A,"CR51")</f>
        <v>1</v>
      </c>
      <c r="N47" s="215">
        <f>COUNTIFS(Error_Log!E:E,"="&amp;TEXT(K47,"00"),Error_Log!U:U,"Y",Error_Log!A:A,"GY86")</f>
        <v>3</v>
      </c>
      <c r="O47" s="215">
        <f>COUNTIFS(Error_Log!E:E,"="&amp;TEXT(K47,"00"),Error_Log!A:A,"GY86")</f>
        <v>3</v>
      </c>
      <c r="P47" s="215">
        <f t="shared" si="1"/>
        <v>3</v>
      </c>
      <c r="Q47" s="215">
        <f t="shared" si="1"/>
        <v>4</v>
      </c>
    </row>
    <row r="48" spans="1:17">
      <c r="A48" s="218" t="s">
        <v>4</v>
      </c>
      <c r="B48" s="6" t="str">
        <f>VLOOKUP(A48,Fleet[],2,FALSE)</f>
        <v>Intel</v>
      </c>
      <c r="C48" s="160">
        <v>45608</v>
      </c>
      <c r="D48" s="346">
        <f>YEAR(DATE(YEAR(Runhours_Table[[#This Row],[Date]]-WEEKDAY(Runhours_Table[[#This Row],[Date]]-1)+4),1,1)-MOD((DATE(YEAR(Runhours_Table[[#This Row],[Date]]-WEEKDAY(Runhours_Table[[#This Row],[Date]]-1)+4),1,1)-2),7)+(7*IF(MOD((DATE(YEAR(Runhours_Table[[#This Row],[Date]]-WEEKDAY(Runhours_Table[[#This Row],[Date]]-1)+4),1,1)-2),7)&gt;3,1,0))+7)</f>
        <v>2024</v>
      </c>
      <c r="E48" s="164">
        <f>_xlfn.ISOWEEKNUM(Runhours_Table[[#This Row],[Date]])</f>
        <v>46</v>
      </c>
      <c r="F48" s="160" t="str">
        <f>RIGHT(YEAR(Runhours_Table[[#This Row],[Date]]),2)&amp;TEXT(_xlfn.ISOWEEKNUM(Runhours_Table[[#This Row],[Date]]),"00")</f>
        <v>2446</v>
      </c>
      <c r="G48" s="38">
        <v>0</v>
      </c>
      <c r="H48" s="38">
        <v>0</v>
      </c>
      <c r="I48" s="38">
        <f ca="1">_xlfn.ISOWEEKNUM(Runhours_Table[[#This Row],[Date]])+52*(Runhours_Table[[#This Row],[Year]]-YEAR(DATE(YEAR(TODAY()-WEEKDAY(TODAY()-1)+4),1,1)-MOD((DATE(YEAR(TODAY()-WEEKDAY(TODAY()-1)+4),1,1)-2),7)+(7*IF(MOD((DATE(YEAR(TODAY()-WEEKDAY(TODAY()-1)+4),1,1)-2),7)&gt;3,1,0))+7) )-_xlfn.ISOWEEKNUM(NOW())</f>
        <v>-43</v>
      </c>
      <c r="J48" s="345"/>
      <c r="K48" s="216">
        <v>21</v>
      </c>
      <c r="L48" s="215">
        <f>COUNTIFS(Error_Log!E:E,"="&amp;TEXT(K48,"00"),Error_Log!U:U,"Y",Error_Log!A:A,"CR51")</f>
        <v>3</v>
      </c>
      <c r="M48" s="215">
        <f>COUNTIFS(Error_Log!E:E,"="&amp;TEXT(K48,"00"),Error_Log!A:A,"CR51")</f>
        <v>3</v>
      </c>
      <c r="N48" s="215">
        <f>COUNTIFS(Error_Log!E:E,"="&amp;TEXT(K48,"00"),Error_Log!U:U,"Y",Error_Log!A:A,"GY86")</f>
        <v>2</v>
      </c>
      <c r="O48" s="215">
        <f>COUNTIFS(Error_Log!E:E,"="&amp;TEXT(K48,"00"),Error_Log!A:A,"GY86")</f>
        <v>2</v>
      </c>
      <c r="P48" s="215">
        <f t="shared" si="1"/>
        <v>5</v>
      </c>
      <c r="Q48" s="215">
        <f t="shared" si="1"/>
        <v>5</v>
      </c>
    </row>
    <row r="49" spans="1:17">
      <c r="A49" s="218" t="s">
        <v>7</v>
      </c>
      <c r="B49" s="6" t="str">
        <f>VLOOKUP(A49,Fleet[],2,FALSE)</f>
        <v>Intel</v>
      </c>
      <c r="C49" s="160">
        <v>45608</v>
      </c>
      <c r="D49" s="346">
        <f>YEAR(DATE(YEAR(Runhours_Table[[#This Row],[Date]]-WEEKDAY(Runhours_Table[[#This Row],[Date]]-1)+4),1,1)-MOD((DATE(YEAR(Runhours_Table[[#This Row],[Date]]-WEEKDAY(Runhours_Table[[#This Row],[Date]]-1)+4),1,1)-2),7)+(7*IF(MOD((DATE(YEAR(Runhours_Table[[#This Row],[Date]]-WEEKDAY(Runhours_Table[[#This Row],[Date]]-1)+4),1,1)-2),7)&gt;3,1,0))+7)</f>
        <v>2024</v>
      </c>
      <c r="E49" s="164">
        <f>_xlfn.ISOWEEKNUM(Runhours_Table[[#This Row],[Date]])</f>
        <v>46</v>
      </c>
      <c r="F49" s="160" t="str">
        <f>RIGHT(YEAR(Runhours_Table[[#This Row],[Date]]),2)&amp;TEXT(_xlfn.ISOWEEKNUM(Runhours_Table[[#This Row],[Date]]),"00")</f>
        <v>2446</v>
      </c>
      <c r="G49" s="38">
        <v>0</v>
      </c>
      <c r="H49" s="38">
        <v>0</v>
      </c>
      <c r="I49" s="38">
        <f ca="1">_xlfn.ISOWEEKNUM(Runhours_Table[[#This Row],[Date]])+52*(Runhours_Table[[#This Row],[Year]]-YEAR(DATE(YEAR(TODAY()-WEEKDAY(TODAY()-1)+4),1,1)-MOD((DATE(YEAR(TODAY()-WEEKDAY(TODAY()-1)+4),1,1)-2),7)+(7*IF(MOD((DATE(YEAR(TODAY()-WEEKDAY(TODAY()-1)+4),1,1)-2),7)&gt;3,1,0))+7) )-_xlfn.ISOWEEKNUM(NOW())</f>
        <v>-43</v>
      </c>
      <c r="J49" s="345"/>
      <c r="K49" s="216">
        <v>22</v>
      </c>
      <c r="L49" s="215">
        <f>COUNTIFS(Error_Log!E:E,"="&amp;TEXT(K49,"00"),Error_Log!U:U,"Y",Error_Log!A:A,"CR51")</f>
        <v>1</v>
      </c>
      <c r="M49" s="215">
        <f>COUNTIFS(Error_Log!E:E,"="&amp;TEXT(K49,"00"),Error_Log!A:A,"CR51")</f>
        <v>1</v>
      </c>
      <c r="N49" s="215">
        <f>COUNTIFS(Error_Log!E:E,"="&amp;TEXT(K49,"00"),Error_Log!U:U,"Y",Error_Log!A:A,"GY86")</f>
        <v>1</v>
      </c>
      <c r="O49" s="215">
        <f>COUNTIFS(Error_Log!E:E,"="&amp;TEXT(K49,"00"),Error_Log!A:A,"GY86")</f>
        <v>1</v>
      </c>
      <c r="P49" s="215">
        <f t="shared" si="1"/>
        <v>2</v>
      </c>
      <c r="Q49" s="215">
        <f t="shared" si="1"/>
        <v>2</v>
      </c>
    </row>
    <row r="50" spans="1:17">
      <c r="A50" s="218" t="s">
        <v>4</v>
      </c>
      <c r="B50" s="6" t="str">
        <f>VLOOKUP(A50,Fleet[],2,FALSE)</f>
        <v>Intel</v>
      </c>
      <c r="C50" s="160">
        <v>45609</v>
      </c>
      <c r="D50" s="346">
        <f>YEAR(DATE(YEAR(Runhours_Table[[#This Row],[Date]]-WEEKDAY(Runhours_Table[[#This Row],[Date]]-1)+4),1,1)-MOD((DATE(YEAR(Runhours_Table[[#This Row],[Date]]-WEEKDAY(Runhours_Table[[#This Row],[Date]]-1)+4),1,1)-2),7)+(7*IF(MOD((DATE(YEAR(Runhours_Table[[#This Row],[Date]]-WEEKDAY(Runhours_Table[[#This Row],[Date]]-1)+4),1,1)-2),7)&gt;3,1,0))+7)</f>
        <v>2024</v>
      </c>
      <c r="E50" s="164">
        <f>_xlfn.ISOWEEKNUM(Runhours_Table[[#This Row],[Date]])</f>
        <v>46</v>
      </c>
      <c r="F50" s="160" t="str">
        <f>RIGHT(YEAR(Runhours_Table[[#This Row],[Date]]),2)&amp;TEXT(_xlfn.ISOWEEKNUM(Runhours_Table[[#This Row],[Date]]),"00")</f>
        <v>2446</v>
      </c>
      <c r="G50" s="38">
        <v>3.5</v>
      </c>
      <c r="H50" s="38">
        <v>17</v>
      </c>
      <c r="I50" s="38">
        <f ca="1">_xlfn.ISOWEEKNUM(Runhours_Table[[#This Row],[Date]])+52*(Runhours_Table[[#This Row],[Year]]-YEAR(DATE(YEAR(TODAY()-WEEKDAY(TODAY()-1)+4),1,1)-MOD((DATE(YEAR(TODAY()-WEEKDAY(TODAY()-1)+4),1,1)-2),7)+(7*IF(MOD((DATE(YEAR(TODAY()-WEEKDAY(TODAY()-1)+4),1,1)-2),7)&gt;3,1,0))+7) )-_xlfn.ISOWEEKNUM(NOW())</f>
        <v>-43</v>
      </c>
      <c r="J50" s="345"/>
      <c r="K50" s="216">
        <v>23</v>
      </c>
      <c r="L50" s="215">
        <f>COUNTIFS(Error_Log!E:E,"="&amp;TEXT(K50,"00"),Error_Log!U:U,"Y",Error_Log!A:A,"CR51")</f>
        <v>0</v>
      </c>
      <c r="M50" s="215">
        <f>COUNTIFS(Error_Log!E:E,"="&amp;TEXT(K50,"00"),Error_Log!A:A,"CR51")</f>
        <v>0</v>
      </c>
      <c r="N50" s="215">
        <f>COUNTIFS(Error_Log!E:E,"="&amp;TEXT(K50,"00"),Error_Log!U:U,"Y",Error_Log!A:A,"GY86")</f>
        <v>0</v>
      </c>
      <c r="O50" s="215">
        <f>COUNTIFS(Error_Log!E:E,"="&amp;TEXT(K50,"00"),Error_Log!A:A,"GY86")</f>
        <v>0</v>
      </c>
      <c r="P50" s="215">
        <f t="shared" si="1"/>
        <v>0</v>
      </c>
      <c r="Q50" s="215">
        <f t="shared" si="1"/>
        <v>0</v>
      </c>
    </row>
    <row r="51" spans="1:17">
      <c r="A51" s="218" t="s">
        <v>7</v>
      </c>
      <c r="B51" s="6" t="str">
        <f>VLOOKUP(A51,Fleet[],2,FALSE)</f>
        <v>Intel</v>
      </c>
      <c r="C51" s="160">
        <v>45609</v>
      </c>
      <c r="D51" s="346">
        <f>YEAR(DATE(YEAR(Runhours_Table[[#This Row],[Date]]-WEEKDAY(Runhours_Table[[#This Row],[Date]]-1)+4),1,1)-MOD((DATE(YEAR(Runhours_Table[[#This Row],[Date]]-WEEKDAY(Runhours_Table[[#This Row],[Date]]-1)+4),1,1)-2),7)+(7*IF(MOD((DATE(YEAR(Runhours_Table[[#This Row],[Date]]-WEEKDAY(Runhours_Table[[#This Row],[Date]]-1)+4),1,1)-2),7)&gt;3,1,0))+7)</f>
        <v>2024</v>
      </c>
      <c r="E51" s="164">
        <f>_xlfn.ISOWEEKNUM(Runhours_Table[[#This Row],[Date]])</f>
        <v>46</v>
      </c>
      <c r="F51" s="160" t="str">
        <f>RIGHT(YEAR(Runhours_Table[[#This Row],[Date]]),2)&amp;TEXT(_xlfn.ISOWEEKNUM(Runhours_Table[[#This Row],[Date]]),"00")</f>
        <v>2446</v>
      </c>
      <c r="G51" s="38">
        <v>0</v>
      </c>
      <c r="H51" s="38">
        <v>0</v>
      </c>
      <c r="I51" s="38">
        <f ca="1">_xlfn.ISOWEEKNUM(Runhours_Table[[#This Row],[Date]])+52*(Runhours_Table[[#This Row],[Year]]-YEAR(DATE(YEAR(TODAY()-WEEKDAY(TODAY()-1)+4),1,1)-MOD((DATE(YEAR(TODAY()-WEEKDAY(TODAY()-1)+4),1,1)-2),7)+(7*IF(MOD((DATE(YEAR(TODAY()-WEEKDAY(TODAY()-1)+4),1,1)-2),7)&gt;3,1,0))+7) )-_xlfn.ISOWEEKNUM(NOW())</f>
        <v>-43</v>
      </c>
      <c r="J51" s="345"/>
      <c r="K51" s="216">
        <v>24</v>
      </c>
      <c r="L51" s="320">
        <f>COUNTIFS(Error_Log!E:E,"="&amp;TEXT(K51,"00"),Error_Log!U:U,"Y",Error_Log!A:A,"CR51")</f>
        <v>1</v>
      </c>
      <c r="M51" s="215">
        <f>COUNTIFS(Error_Log!E:E,"="&amp;TEXT(K51,"00"),Error_Log!A:A,"CR51")</f>
        <v>2</v>
      </c>
      <c r="N51" s="320">
        <f>COUNTIFS(Error_Log!E:E,"="&amp;TEXT(K51,"00"),Error_Log!U:U,"Y",Error_Log!A:A,"GY86")</f>
        <v>0</v>
      </c>
      <c r="O51" s="215">
        <f>COUNTIFS(Error_Log!E:E,"="&amp;TEXT(K51,"00"),Error_Log!A:A,"GY86")</f>
        <v>0</v>
      </c>
      <c r="P51" s="215">
        <f t="shared" ref="P51:P57" si="2">SUM(L51,N51)</f>
        <v>1</v>
      </c>
      <c r="Q51" s="215">
        <f t="shared" ref="Q51:Q57" si="3">SUM(M51,O51)</f>
        <v>2</v>
      </c>
    </row>
    <row r="52" spans="1:17">
      <c r="A52" s="218" t="s">
        <v>4</v>
      </c>
      <c r="B52" s="6" t="str">
        <f>VLOOKUP(A52,Fleet[],2,FALSE)</f>
        <v>Intel</v>
      </c>
      <c r="C52" s="160">
        <v>45610</v>
      </c>
      <c r="D52" s="346">
        <f>YEAR(DATE(YEAR(Runhours_Table[[#This Row],[Date]]-WEEKDAY(Runhours_Table[[#This Row],[Date]]-1)+4),1,1)-MOD((DATE(YEAR(Runhours_Table[[#This Row],[Date]]-WEEKDAY(Runhours_Table[[#This Row],[Date]]-1)+4),1,1)-2),7)+(7*IF(MOD((DATE(YEAR(Runhours_Table[[#This Row],[Date]]-WEEKDAY(Runhours_Table[[#This Row],[Date]]-1)+4),1,1)-2),7)&gt;3,1,0))+7)</f>
        <v>2024</v>
      </c>
      <c r="E52" s="164">
        <f>_xlfn.ISOWEEKNUM(Runhours_Table[[#This Row],[Date]])</f>
        <v>46</v>
      </c>
      <c r="F52" s="160" t="str">
        <f>RIGHT(YEAR(Runhours_Table[[#This Row],[Date]]),2)&amp;TEXT(_xlfn.ISOWEEKNUM(Runhours_Table[[#This Row],[Date]]),"00")</f>
        <v>2446</v>
      </c>
      <c r="G52" s="38">
        <v>2.2999999999999998</v>
      </c>
      <c r="H52" s="38">
        <v>13</v>
      </c>
      <c r="I52" s="38">
        <f ca="1">_xlfn.ISOWEEKNUM(Runhours_Table[[#This Row],[Date]])+52*(Runhours_Table[[#This Row],[Year]]-YEAR(DATE(YEAR(TODAY()-WEEKDAY(TODAY()-1)+4),1,1)-MOD((DATE(YEAR(TODAY()-WEEKDAY(TODAY()-1)+4),1,1)-2),7)+(7*IF(MOD((DATE(YEAR(TODAY()-WEEKDAY(TODAY()-1)+4),1,1)-2),7)&gt;3,1,0))+7) )-_xlfn.ISOWEEKNUM(NOW())</f>
        <v>-43</v>
      </c>
      <c r="J52" s="345"/>
      <c r="K52" s="216">
        <v>25</v>
      </c>
      <c r="L52" s="320">
        <f>COUNTIFS(Error_Log!E:E,"="&amp;TEXT(K52,"00"),Error_Log!U:U,"Y",Error_Log!A:A,"CR51")</f>
        <v>2</v>
      </c>
      <c r="M52" s="215">
        <f>COUNTIFS(Error_Log!E:E,"="&amp;TEXT(K52,"00"),Error_Log!A:A,"CR51")</f>
        <v>2</v>
      </c>
      <c r="N52" s="320">
        <f>COUNTIFS(Error_Log!E:E,"="&amp;TEXT(K52,"00"),Error_Log!U:U,"Y",Error_Log!A:A,"GY86")</f>
        <v>1</v>
      </c>
      <c r="O52" s="215">
        <f>COUNTIFS(Error_Log!E:E,"="&amp;TEXT(K52,"00"),Error_Log!A:A,"GY86")</f>
        <v>1</v>
      </c>
      <c r="P52" s="215">
        <f t="shared" si="2"/>
        <v>3</v>
      </c>
      <c r="Q52" s="215">
        <f t="shared" si="3"/>
        <v>3</v>
      </c>
    </row>
    <row r="53" spans="1:17">
      <c r="A53" s="218" t="s">
        <v>7</v>
      </c>
      <c r="B53" s="6" t="str">
        <f>VLOOKUP(A53,Fleet[],2,FALSE)</f>
        <v>Intel</v>
      </c>
      <c r="C53" s="160">
        <v>45610</v>
      </c>
      <c r="D53" s="346">
        <f>YEAR(DATE(YEAR(Runhours_Table[[#This Row],[Date]]-WEEKDAY(Runhours_Table[[#This Row],[Date]]-1)+4),1,1)-MOD((DATE(YEAR(Runhours_Table[[#This Row],[Date]]-WEEKDAY(Runhours_Table[[#This Row],[Date]]-1)+4),1,1)-2),7)+(7*IF(MOD((DATE(YEAR(Runhours_Table[[#This Row],[Date]]-WEEKDAY(Runhours_Table[[#This Row],[Date]]-1)+4),1,1)-2),7)&gt;3,1,0))+7)</f>
        <v>2024</v>
      </c>
      <c r="E53" s="164">
        <f>_xlfn.ISOWEEKNUM(Runhours_Table[[#This Row],[Date]])</f>
        <v>46</v>
      </c>
      <c r="F53" s="160" t="str">
        <f>RIGHT(YEAR(Runhours_Table[[#This Row],[Date]]),2)&amp;TEXT(_xlfn.ISOWEEKNUM(Runhours_Table[[#This Row],[Date]]),"00")</f>
        <v>2446</v>
      </c>
      <c r="G53" s="38">
        <v>0</v>
      </c>
      <c r="H53" s="38">
        <v>0</v>
      </c>
      <c r="I53" s="38">
        <f ca="1">_xlfn.ISOWEEKNUM(Runhours_Table[[#This Row],[Date]])+52*(Runhours_Table[[#This Row],[Year]]-YEAR(DATE(YEAR(TODAY()-WEEKDAY(TODAY()-1)+4),1,1)-MOD((DATE(YEAR(TODAY()-WEEKDAY(TODAY()-1)+4),1,1)-2),7)+(7*IF(MOD((DATE(YEAR(TODAY()-WEEKDAY(TODAY()-1)+4),1,1)-2),7)&gt;3,1,0))+7) )-_xlfn.ISOWEEKNUM(NOW())</f>
        <v>-43</v>
      </c>
      <c r="J53" s="345"/>
      <c r="K53" s="216">
        <v>26</v>
      </c>
      <c r="L53" s="320">
        <f>COUNTIFS(Error_Log!E:E,"="&amp;TEXT(K53,"00"),Error_Log!U:U,"Y",Error_Log!A:A,"CR51")</f>
        <v>1</v>
      </c>
      <c r="M53" s="215">
        <f>COUNTIFS(Error_Log!E:E,"="&amp;TEXT(K53,"00"),Error_Log!A:A,"CR51")</f>
        <v>1</v>
      </c>
      <c r="N53" s="320">
        <f>COUNTIFS(Error_Log!E:E,"="&amp;TEXT(K53,"00"),Error_Log!U:U,"Y",Error_Log!A:A,"GY86")</f>
        <v>1</v>
      </c>
      <c r="O53" s="215">
        <f>COUNTIFS(Error_Log!E:E,"="&amp;TEXT(K53,"00"),Error_Log!A:A,"GY86")</f>
        <v>1</v>
      </c>
      <c r="P53" s="215">
        <f t="shared" si="2"/>
        <v>2</v>
      </c>
      <c r="Q53" s="215">
        <f t="shared" si="3"/>
        <v>2</v>
      </c>
    </row>
    <row r="54" spans="1:17">
      <c r="A54" s="218" t="s">
        <v>4</v>
      </c>
      <c r="B54" s="6" t="str">
        <f>VLOOKUP(A54,Fleet[],2,FALSE)</f>
        <v>Intel</v>
      </c>
      <c r="C54" s="160">
        <v>45611</v>
      </c>
      <c r="D54" s="346">
        <f>YEAR(DATE(YEAR(Runhours_Table[[#This Row],[Date]]-WEEKDAY(Runhours_Table[[#This Row],[Date]]-1)+4),1,1)-MOD((DATE(YEAR(Runhours_Table[[#This Row],[Date]]-WEEKDAY(Runhours_Table[[#This Row],[Date]]-1)+4),1,1)-2),7)+(7*IF(MOD((DATE(YEAR(Runhours_Table[[#This Row],[Date]]-WEEKDAY(Runhours_Table[[#This Row],[Date]]-1)+4),1,1)-2),7)&gt;3,1,0))+7)</f>
        <v>2024</v>
      </c>
      <c r="E54" s="164">
        <f>_xlfn.ISOWEEKNUM(Runhours_Table[[#This Row],[Date]])</f>
        <v>46</v>
      </c>
      <c r="F54" s="160" t="str">
        <f>RIGHT(YEAR(Runhours_Table[[#This Row],[Date]]),2)&amp;TEXT(_xlfn.ISOWEEKNUM(Runhours_Table[[#This Row],[Date]]),"00")</f>
        <v>2446</v>
      </c>
      <c r="G54" s="38">
        <v>2</v>
      </c>
      <c r="H54" s="38">
        <v>14</v>
      </c>
      <c r="I54" s="38">
        <f ca="1">_xlfn.ISOWEEKNUM(Runhours_Table[[#This Row],[Date]])+52*(Runhours_Table[[#This Row],[Year]]-YEAR(DATE(YEAR(TODAY()-WEEKDAY(TODAY()-1)+4),1,1)-MOD((DATE(YEAR(TODAY()-WEEKDAY(TODAY()-1)+4),1,1)-2),7)+(7*IF(MOD((DATE(YEAR(TODAY()-WEEKDAY(TODAY()-1)+4),1,1)-2),7)&gt;3,1,0))+7) )-_xlfn.ISOWEEKNUM(NOW())</f>
        <v>-43</v>
      </c>
      <c r="J54" s="345"/>
      <c r="K54" s="216">
        <v>27</v>
      </c>
      <c r="L54" s="320">
        <f>COUNTIFS(Error_Log!E:E,"="&amp;TEXT(K54,"00"),Error_Log!U:U,"Y",Error_Log!A:A,"CR51")</f>
        <v>2</v>
      </c>
      <c r="M54" s="215">
        <f>COUNTIFS(Error_Log!E:E,"="&amp;TEXT(K54,"00"),Error_Log!A:A,"CR51")</f>
        <v>2</v>
      </c>
      <c r="N54" s="320">
        <f>COUNTIFS(Error_Log!E:E,"="&amp;TEXT(K54,"00"),Error_Log!U:U,"Y",Error_Log!A:A,"GY86")</f>
        <v>0</v>
      </c>
      <c r="O54" s="215">
        <f>COUNTIFS(Error_Log!E:E,"="&amp;TEXT(K54,"00"),Error_Log!A:A,"GY86")</f>
        <v>0</v>
      </c>
      <c r="P54" s="215">
        <f t="shared" si="2"/>
        <v>2</v>
      </c>
      <c r="Q54" s="215">
        <f t="shared" si="3"/>
        <v>2</v>
      </c>
    </row>
    <row r="55" spans="1:17">
      <c r="A55" s="218" t="s">
        <v>7</v>
      </c>
      <c r="B55" s="6" t="str">
        <f>VLOOKUP(A55,Fleet[],2,FALSE)</f>
        <v>Intel</v>
      </c>
      <c r="C55" s="160">
        <v>45611</v>
      </c>
      <c r="D55" s="346">
        <f>YEAR(DATE(YEAR(Runhours_Table[[#This Row],[Date]]-WEEKDAY(Runhours_Table[[#This Row],[Date]]-1)+4),1,1)-MOD((DATE(YEAR(Runhours_Table[[#This Row],[Date]]-WEEKDAY(Runhours_Table[[#This Row],[Date]]-1)+4),1,1)-2),7)+(7*IF(MOD((DATE(YEAR(Runhours_Table[[#This Row],[Date]]-WEEKDAY(Runhours_Table[[#This Row],[Date]]-1)+4),1,1)-2),7)&gt;3,1,0))+7)</f>
        <v>2024</v>
      </c>
      <c r="E55" s="164">
        <f>_xlfn.ISOWEEKNUM(Runhours_Table[[#This Row],[Date]])</f>
        <v>46</v>
      </c>
      <c r="F55" s="160" t="str">
        <f>RIGHT(YEAR(Runhours_Table[[#This Row],[Date]]),2)&amp;TEXT(_xlfn.ISOWEEKNUM(Runhours_Table[[#This Row],[Date]]),"00")</f>
        <v>2446</v>
      </c>
      <c r="G55" s="38">
        <v>0</v>
      </c>
      <c r="H55" s="38">
        <v>0</v>
      </c>
      <c r="I55" s="38">
        <f ca="1">_xlfn.ISOWEEKNUM(Runhours_Table[[#This Row],[Date]])+52*(Runhours_Table[[#This Row],[Year]]-YEAR(DATE(YEAR(TODAY()-WEEKDAY(TODAY()-1)+4),1,1)-MOD((DATE(YEAR(TODAY()-WEEKDAY(TODAY()-1)+4),1,1)-2),7)+(7*IF(MOD((DATE(YEAR(TODAY()-WEEKDAY(TODAY()-1)+4),1,1)-2),7)&gt;3,1,0))+7) )-_xlfn.ISOWEEKNUM(NOW())</f>
        <v>-43</v>
      </c>
      <c r="J55" s="345"/>
      <c r="K55" s="216">
        <v>28</v>
      </c>
      <c r="L55" s="320">
        <f>COUNTIFS(Error_Log!E:E,"="&amp;TEXT(K55,"00"),Error_Log!U:U,"Y",Error_Log!A:A,"CR51")</f>
        <v>0</v>
      </c>
      <c r="M55" s="215">
        <f>COUNTIFS(Error_Log!E:E,"="&amp;TEXT(K55,"00"),Error_Log!A:A,"CR51")</f>
        <v>0</v>
      </c>
      <c r="N55" s="320">
        <f>COUNTIFS(Error_Log!E:E,"="&amp;TEXT(K55,"00"),Error_Log!U:U,"Y",Error_Log!A:A,"GY86")</f>
        <v>0</v>
      </c>
      <c r="O55" s="215">
        <f>COUNTIFS(Error_Log!E:E,"="&amp;TEXT(K55,"00"),Error_Log!A:A,"GY86")</f>
        <v>0</v>
      </c>
      <c r="P55" s="215">
        <f t="shared" si="2"/>
        <v>0</v>
      </c>
      <c r="Q55" s="215">
        <f t="shared" si="3"/>
        <v>0</v>
      </c>
    </row>
    <row r="56" spans="1:17">
      <c r="A56" s="218" t="s">
        <v>4</v>
      </c>
      <c r="B56" s="6" t="str">
        <f>VLOOKUP(A56,Fleet[],2,FALSE)</f>
        <v>Intel</v>
      </c>
      <c r="C56" s="160">
        <v>45612</v>
      </c>
      <c r="D56" s="346">
        <f>YEAR(DATE(YEAR(Runhours_Table[[#This Row],[Date]]-WEEKDAY(Runhours_Table[[#This Row],[Date]]-1)+4),1,1)-MOD((DATE(YEAR(Runhours_Table[[#This Row],[Date]]-WEEKDAY(Runhours_Table[[#This Row],[Date]]-1)+4),1,1)-2),7)+(7*IF(MOD((DATE(YEAR(Runhours_Table[[#This Row],[Date]]-WEEKDAY(Runhours_Table[[#This Row],[Date]]-1)+4),1,1)-2),7)&gt;3,1,0))+7)</f>
        <v>2024</v>
      </c>
      <c r="E56" s="164">
        <f>_xlfn.ISOWEEKNUM(Runhours_Table[[#This Row],[Date]])</f>
        <v>46</v>
      </c>
      <c r="F56" s="160" t="str">
        <f>RIGHT(YEAR(Runhours_Table[[#This Row],[Date]]),2)&amp;TEXT(_xlfn.ISOWEEKNUM(Runhours_Table[[#This Row],[Date]]),"00")</f>
        <v>2446</v>
      </c>
      <c r="G56" s="38">
        <v>0.5</v>
      </c>
      <c r="H56" s="38">
        <v>6</v>
      </c>
      <c r="I56" s="38">
        <f ca="1">_xlfn.ISOWEEKNUM(Runhours_Table[[#This Row],[Date]])+52*(Runhours_Table[[#This Row],[Year]]-YEAR(DATE(YEAR(TODAY()-WEEKDAY(TODAY()-1)+4),1,1)-MOD((DATE(YEAR(TODAY()-WEEKDAY(TODAY()-1)+4),1,1)-2),7)+(7*IF(MOD((DATE(YEAR(TODAY()-WEEKDAY(TODAY()-1)+4),1,1)-2),7)&gt;3,1,0))+7) )-_xlfn.ISOWEEKNUM(NOW())</f>
        <v>-43</v>
      </c>
      <c r="J56" s="345"/>
      <c r="K56" s="216">
        <v>29</v>
      </c>
      <c r="L56" s="320">
        <f>COUNTIFS(Error_Log!E:E,"="&amp;TEXT(K56,"00"),Error_Log!U:U,"Y",Error_Log!A:A,"CR51")</f>
        <v>2</v>
      </c>
      <c r="M56" s="215">
        <f>COUNTIFS(Error_Log!E:E,"="&amp;TEXT(K56,"00"),Error_Log!A:A,"CR51")</f>
        <v>3</v>
      </c>
      <c r="N56" s="320">
        <f>COUNTIFS(Error_Log!E:E,"="&amp;TEXT(K56,"00"),Error_Log!U:U,"Y",Error_Log!A:A,"GY86")</f>
        <v>0</v>
      </c>
      <c r="O56" s="215">
        <f>COUNTIFS(Error_Log!E:E,"="&amp;TEXT(K56,"00"),Error_Log!A:A,"GY86")</f>
        <v>0</v>
      </c>
      <c r="P56" s="215">
        <f t="shared" si="2"/>
        <v>2</v>
      </c>
      <c r="Q56" s="215">
        <f t="shared" si="3"/>
        <v>3</v>
      </c>
    </row>
    <row r="57" spans="1:17">
      <c r="A57" s="218" t="s">
        <v>7</v>
      </c>
      <c r="B57" s="6" t="str">
        <f>VLOOKUP(A57,Fleet[],2,FALSE)</f>
        <v>Intel</v>
      </c>
      <c r="C57" s="160">
        <v>45612</v>
      </c>
      <c r="D57" s="346">
        <f>YEAR(DATE(YEAR(Runhours_Table[[#This Row],[Date]]-WEEKDAY(Runhours_Table[[#This Row],[Date]]-1)+4),1,1)-MOD((DATE(YEAR(Runhours_Table[[#This Row],[Date]]-WEEKDAY(Runhours_Table[[#This Row],[Date]]-1)+4),1,1)-2),7)+(7*IF(MOD((DATE(YEAR(Runhours_Table[[#This Row],[Date]]-WEEKDAY(Runhours_Table[[#This Row],[Date]]-1)+4),1,1)-2),7)&gt;3,1,0))+7)</f>
        <v>2024</v>
      </c>
      <c r="E57" s="164">
        <f>_xlfn.ISOWEEKNUM(Runhours_Table[[#This Row],[Date]])</f>
        <v>46</v>
      </c>
      <c r="F57" s="160" t="str">
        <f>RIGHT(YEAR(Runhours_Table[[#This Row],[Date]]),2)&amp;TEXT(_xlfn.ISOWEEKNUM(Runhours_Table[[#This Row],[Date]]),"00")</f>
        <v>2446</v>
      </c>
      <c r="G57" s="38">
        <v>0</v>
      </c>
      <c r="H57" s="38">
        <v>0</v>
      </c>
      <c r="I57" s="38">
        <f ca="1">_xlfn.ISOWEEKNUM(Runhours_Table[[#This Row],[Date]])+52*(Runhours_Table[[#This Row],[Year]]-YEAR(DATE(YEAR(TODAY()-WEEKDAY(TODAY()-1)+4),1,1)-MOD((DATE(YEAR(TODAY()-WEEKDAY(TODAY()-1)+4),1,1)-2),7)+(7*IF(MOD((DATE(YEAR(TODAY()-WEEKDAY(TODAY()-1)+4),1,1)-2),7)&gt;3,1,0))+7) )-_xlfn.ISOWEEKNUM(NOW())</f>
        <v>-43</v>
      </c>
      <c r="J57" s="345"/>
      <c r="K57" s="216">
        <v>30</v>
      </c>
      <c r="L57" s="320">
        <f>COUNTIFS(Error_Log!E:E,"="&amp;TEXT(K57,"00"),Error_Log!U:U,"Y",Error_Log!A:A,"CR51")</f>
        <v>1</v>
      </c>
      <c r="M57" s="215">
        <f>COUNTIFS(Error_Log!E:E,"="&amp;TEXT(K57,"00"),Error_Log!A:A,"CR51")</f>
        <v>1</v>
      </c>
      <c r="N57" s="320">
        <f>COUNTIFS(Error_Log!E:E,"="&amp;TEXT(K57,"00"),Error_Log!U:U,"Y",Error_Log!A:A,"GY86")</f>
        <v>2</v>
      </c>
      <c r="O57" s="215">
        <f>COUNTIFS(Error_Log!E:E,"="&amp;TEXT(K57,"00"),Error_Log!A:A,"GY86")</f>
        <v>2</v>
      </c>
      <c r="P57" s="215">
        <f t="shared" si="2"/>
        <v>3</v>
      </c>
      <c r="Q57" s="215">
        <f t="shared" si="3"/>
        <v>3</v>
      </c>
    </row>
    <row r="58" spans="1:17">
      <c r="A58" s="218" t="s">
        <v>4</v>
      </c>
      <c r="B58" s="6" t="str">
        <f>VLOOKUP(A58,Fleet[],2,FALSE)</f>
        <v>Intel</v>
      </c>
      <c r="C58" s="160">
        <v>45613</v>
      </c>
      <c r="D58" s="346">
        <f>YEAR(DATE(YEAR(Runhours_Table[[#This Row],[Date]]-WEEKDAY(Runhours_Table[[#This Row],[Date]]-1)+4),1,1)-MOD((DATE(YEAR(Runhours_Table[[#This Row],[Date]]-WEEKDAY(Runhours_Table[[#This Row],[Date]]-1)+4),1,1)-2),7)+(7*IF(MOD((DATE(YEAR(Runhours_Table[[#This Row],[Date]]-WEEKDAY(Runhours_Table[[#This Row],[Date]]-1)+4),1,1)-2),7)&gt;3,1,0))+7)</f>
        <v>2024</v>
      </c>
      <c r="E58" s="164">
        <f>_xlfn.ISOWEEKNUM(Runhours_Table[[#This Row],[Date]])</f>
        <v>46</v>
      </c>
      <c r="F58" s="160" t="str">
        <f>RIGHT(YEAR(Runhours_Table[[#This Row],[Date]]),2)&amp;TEXT(_xlfn.ISOWEEKNUM(Runhours_Table[[#This Row],[Date]]),"00")</f>
        <v>2446</v>
      </c>
      <c r="G58" s="38">
        <v>1.2</v>
      </c>
      <c r="H58" s="38">
        <v>3</v>
      </c>
      <c r="I58" s="38">
        <f ca="1">_xlfn.ISOWEEKNUM(Runhours_Table[[#This Row],[Date]])+52*(Runhours_Table[[#This Row],[Year]]-YEAR(DATE(YEAR(TODAY()-WEEKDAY(TODAY()-1)+4),1,1)-MOD((DATE(YEAR(TODAY()-WEEKDAY(TODAY()-1)+4),1,1)-2),7)+(7*IF(MOD((DATE(YEAR(TODAY()-WEEKDAY(TODAY()-1)+4),1,1)-2),7)&gt;3,1,0))+7) )-_xlfn.ISOWEEKNUM(NOW())</f>
        <v>-43</v>
      </c>
      <c r="J58" s="345"/>
    </row>
    <row r="59" spans="1:17">
      <c r="A59" s="218" t="s">
        <v>7</v>
      </c>
      <c r="B59" s="6" t="str">
        <f>VLOOKUP(A59,Fleet[],2,FALSE)</f>
        <v>Intel</v>
      </c>
      <c r="C59" s="160">
        <v>45613</v>
      </c>
      <c r="D59" s="346">
        <f>YEAR(DATE(YEAR(Runhours_Table[[#This Row],[Date]]-WEEKDAY(Runhours_Table[[#This Row],[Date]]-1)+4),1,1)-MOD((DATE(YEAR(Runhours_Table[[#This Row],[Date]]-WEEKDAY(Runhours_Table[[#This Row],[Date]]-1)+4),1,1)-2),7)+(7*IF(MOD((DATE(YEAR(Runhours_Table[[#This Row],[Date]]-WEEKDAY(Runhours_Table[[#This Row],[Date]]-1)+4),1,1)-2),7)&gt;3,1,0))+7)</f>
        <v>2024</v>
      </c>
      <c r="E59" s="164">
        <f>_xlfn.ISOWEEKNUM(Runhours_Table[[#This Row],[Date]])</f>
        <v>46</v>
      </c>
      <c r="F59" s="160" t="str">
        <f>RIGHT(YEAR(Runhours_Table[[#This Row],[Date]]),2)&amp;TEXT(_xlfn.ISOWEEKNUM(Runhours_Table[[#This Row],[Date]]),"00")</f>
        <v>2446</v>
      </c>
      <c r="G59" s="38">
        <v>0</v>
      </c>
      <c r="H59" s="38">
        <v>0</v>
      </c>
      <c r="I59" s="38">
        <f ca="1">_xlfn.ISOWEEKNUM(Runhours_Table[[#This Row],[Date]])+52*(Runhours_Table[[#This Row],[Year]]-YEAR(DATE(YEAR(TODAY()-WEEKDAY(TODAY()-1)+4),1,1)-MOD((DATE(YEAR(TODAY()-WEEKDAY(TODAY()-1)+4),1,1)-2),7)+(7*IF(MOD((DATE(YEAR(TODAY()-WEEKDAY(TODAY()-1)+4),1,1)-2),7)&gt;3,1,0))+7) )-_xlfn.ISOWEEKNUM(NOW())</f>
        <v>-43</v>
      </c>
      <c r="J59" s="345"/>
    </row>
    <row r="60" spans="1:17">
      <c r="A60" s="218" t="s">
        <v>4</v>
      </c>
      <c r="B60" s="6" t="str">
        <f>VLOOKUP(A60,Fleet[],2,FALSE)</f>
        <v>Intel</v>
      </c>
      <c r="C60" s="160">
        <v>45614</v>
      </c>
      <c r="D60" s="346">
        <f>YEAR(DATE(YEAR(Runhours_Table[[#This Row],[Date]]-WEEKDAY(Runhours_Table[[#This Row],[Date]]-1)+4),1,1)-MOD((DATE(YEAR(Runhours_Table[[#This Row],[Date]]-WEEKDAY(Runhours_Table[[#This Row],[Date]]-1)+4),1,1)-2),7)+(7*IF(MOD((DATE(YEAR(Runhours_Table[[#This Row],[Date]]-WEEKDAY(Runhours_Table[[#This Row],[Date]]-1)+4),1,1)-2),7)&gt;3,1,0))+7)</f>
        <v>2024</v>
      </c>
      <c r="E60" s="164">
        <f>_xlfn.ISOWEEKNUM(Runhours_Table[[#This Row],[Date]])</f>
        <v>47</v>
      </c>
      <c r="F60" s="160" t="str">
        <f>RIGHT(YEAR(Runhours_Table[[#This Row],[Date]]),2)&amp;TEXT(_xlfn.ISOWEEKNUM(Runhours_Table[[#This Row],[Date]]),"00")</f>
        <v>2447</v>
      </c>
      <c r="G60" s="38">
        <v>0</v>
      </c>
      <c r="H60" s="38">
        <v>24</v>
      </c>
      <c r="I60" s="38">
        <f ca="1">_xlfn.ISOWEEKNUM(Runhours_Table[[#This Row],[Date]])+52*(Runhours_Table[[#This Row],[Year]]-YEAR(DATE(YEAR(TODAY()-WEEKDAY(TODAY()-1)+4),1,1)-MOD((DATE(YEAR(TODAY()-WEEKDAY(TODAY()-1)+4),1,1)-2),7)+(7*IF(MOD((DATE(YEAR(TODAY()-WEEKDAY(TODAY()-1)+4),1,1)-2),7)&gt;3,1,0))+7) )-_xlfn.ISOWEEKNUM(NOW())</f>
        <v>-42</v>
      </c>
      <c r="J60" s="345"/>
    </row>
    <row r="61" spans="1:17">
      <c r="A61" s="218" t="s">
        <v>7</v>
      </c>
      <c r="B61" s="6" t="str">
        <f>VLOOKUP(A61,Fleet[],2,FALSE)</f>
        <v>Intel</v>
      </c>
      <c r="C61" s="160">
        <v>45614</v>
      </c>
      <c r="D61" s="346">
        <f>YEAR(DATE(YEAR(Runhours_Table[[#This Row],[Date]]-WEEKDAY(Runhours_Table[[#This Row],[Date]]-1)+4),1,1)-MOD((DATE(YEAR(Runhours_Table[[#This Row],[Date]]-WEEKDAY(Runhours_Table[[#This Row],[Date]]-1)+4),1,1)-2),7)+(7*IF(MOD((DATE(YEAR(Runhours_Table[[#This Row],[Date]]-WEEKDAY(Runhours_Table[[#This Row],[Date]]-1)+4),1,1)-2),7)&gt;3,1,0))+7)</f>
        <v>2024</v>
      </c>
      <c r="E61" s="164">
        <f>_xlfn.ISOWEEKNUM(Runhours_Table[[#This Row],[Date]])</f>
        <v>47</v>
      </c>
      <c r="F61" s="160" t="str">
        <f>RIGHT(YEAR(Runhours_Table[[#This Row],[Date]]),2)&amp;TEXT(_xlfn.ISOWEEKNUM(Runhours_Table[[#This Row],[Date]]),"00")</f>
        <v>2447</v>
      </c>
      <c r="G61" s="38">
        <v>0</v>
      </c>
      <c r="H61" s="38">
        <v>0</v>
      </c>
      <c r="I61" s="38">
        <f ca="1">_xlfn.ISOWEEKNUM(Runhours_Table[[#This Row],[Date]])+52*(Runhours_Table[[#This Row],[Year]]-YEAR(DATE(YEAR(TODAY()-WEEKDAY(TODAY()-1)+4),1,1)-MOD((DATE(YEAR(TODAY()-WEEKDAY(TODAY()-1)+4),1,1)-2),7)+(7*IF(MOD((DATE(YEAR(TODAY()-WEEKDAY(TODAY()-1)+4),1,1)-2),7)&gt;3,1,0))+7) )-_xlfn.ISOWEEKNUM(NOW())</f>
        <v>-42</v>
      </c>
      <c r="J61" s="345"/>
    </row>
    <row r="62" spans="1:17">
      <c r="A62" s="218" t="s">
        <v>4</v>
      </c>
      <c r="B62" s="6" t="str">
        <f>VLOOKUP(A62,Fleet[],2,FALSE)</f>
        <v>Intel</v>
      </c>
      <c r="C62" s="160">
        <v>45615</v>
      </c>
      <c r="D62" s="346">
        <f>YEAR(DATE(YEAR(Runhours_Table[[#This Row],[Date]]-WEEKDAY(Runhours_Table[[#This Row],[Date]]-1)+4),1,1)-MOD((DATE(YEAR(Runhours_Table[[#This Row],[Date]]-WEEKDAY(Runhours_Table[[#This Row],[Date]]-1)+4),1,1)-2),7)+(7*IF(MOD((DATE(YEAR(Runhours_Table[[#This Row],[Date]]-WEEKDAY(Runhours_Table[[#This Row],[Date]]-1)+4),1,1)-2),7)&gt;3,1,0))+7)</f>
        <v>2024</v>
      </c>
      <c r="E62" s="164">
        <f>_xlfn.ISOWEEKNUM(Runhours_Table[[#This Row],[Date]])</f>
        <v>47</v>
      </c>
      <c r="F62" s="160" t="str">
        <f>RIGHT(YEAR(Runhours_Table[[#This Row],[Date]]),2)&amp;TEXT(_xlfn.ISOWEEKNUM(Runhours_Table[[#This Row],[Date]]),"00")</f>
        <v>2447</v>
      </c>
      <c r="G62" s="38">
        <v>0</v>
      </c>
      <c r="H62" s="38">
        <v>24</v>
      </c>
      <c r="I62" s="38">
        <f ca="1">_xlfn.ISOWEEKNUM(Runhours_Table[[#This Row],[Date]])+52*(Runhours_Table[[#This Row],[Year]]-YEAR(DATE(YEAR(TODAY()-WEEKDAY(TODAY()-1)+4),1,1)-MOD((DATE(YEAR(TODAY()-WEEKDAY(TODAY()-1)+4),1,1)-2),7)+(7*IF(MOD((DATE(YEAR(TODAY()-WEEKDAY(TODAY()-1)+4),1,1)-2),7)&gt;3,1,0))+7) )-_xlfn.ISOWEEKNUM(NOW())</f>
        <v>-42</v>
      </c>
      <c r="J62" s="345"/>
    </row>
    <row r="63" spans="1:17">
      <c r="A63" s="218" t="s">
        <v>7</v>
      </c>
      <c r="B63" s="6" t="str">
        <f>VLOOKUP(A63,Fleet[],2,FALSE)</f>
        <v>Intel</v>
      </c>
      <c r="C63" s="160">
        <v>45615</v>
      </c>
      <c r="D63" s="346">
        <f>YEAR(DATE(YEAR(Runhours_Table[[#This Row],[Date]]-WEEKDAY(Runhours_Table[[#This Row],[Date]]-1)+4),1,1)-MOD((DATE(YEAR(Runhours_Table[[#This Row],[Date]]-WEEKDAY(Runhours_Table[[#This Row],[Date]]-1)+4),1,1)-2),7)+(7*IF(MOD((DATE(YEAR(Runhours_Table[[#This Row],[Date]]-WEEKDAY(Runhours_Table[[#This Row],[Date]]-1)+4),1,1)-2),7)&gt;3,1,0))+7)</f>
        <v>2024</v>
      </c>
      <c r="E63" s="164">
        <f>_xlfn.ISOWEEKNUM(Runhours_Table[[#This Row],[Date]])</f>
        <v>47</v>
      </c>
      <c r="F63" s="160" t="str">
        <f>RIGHT(YEAR(Runhours_Table[[#This Row],[Date]]),2)&amp;TEXT(_xlfn.ISOWEEKNUM(Runhours_Table[[#This Row],[Date]]),"00")</f>
        <v>2447</v>
      </c>
      <c r="G63" s="38">
        <v>0</v>
      </c>
      <c r="H63" s="38">
        <v>0</v>
      </c>
      <c r="I63" s="38">
        <f ca="1">_xlfn.ISOWEEKNUM(Runhours_Table[[#This Row],[Date]])+52*(Runhours_Table[[#This Row],[Year]]-YEAR(DATE(YEAR(TODAY()-WEEKDAY(TODAY()-1)+4),1,1)-MOD((DATE(YEAR(TODAY()-WEEKDAY(TODAY()-1)+4),1,1)-2),7)+(7*IF(MOD((DATE(YEAR(TODAY()-WEEKDAY(TODAY()-1)+4),1,1)-2),7)&gt;3,1,0))+7) )-_xlfn.ISOWEEKNUM(NOW())</f>
        <v>-42</v>
      </c>
      <c r="J63" s="345"/>
    </row>
    <row r="64" spans="1:17">
      <c r="A64" s="218" t="s">
        <v>4</v>
      </c>
      <c r="B64" s="6" t="str">
        <f>VLOOKUP(A64,Fleet[],2,FALSE)</f>
        <v>Intel</v>
      </c>
      <c r="C64" s="160">
        <v>45616</v>
      </c>
      <c r="D64" s="346">
        <f>YEAR(DATE(YEAR(Runhours_Table[[#This Row],[Date]]-WEEKDAY(Runhours_Table[[#This Row],[Date]]-1)+4),1,1)-MOD((DATE(YEAR(Runhours_Table[[#This Row],[Date]]-WEEKDAY(Runhours_Table[[#This Row],[Date]]-1)+4),1,1)-2),7)+(7*IF(MOD((DATE(YEAR(Runhours_Table[[#This Row],[Date]]-WEEKDAY(Runhours_Table[[#This Row],[Date]]-1)+4),1,1)-2),7)&gt;3,1,0))+7)</f>
        <v>2024</v>
      </c>
      <c r="E64" s="164">
        <f>_xlfn.ISOWEEKNUM(Runhours_Table[[#This Row],[Date]])</f>
        <v>47</v>
      </c>
      <c r="F64" s="160" t="str">
        <f>RIGHT(YEAR(Runhours_Table[[#This Row],[Date]]),2)&amp;TEXT(_xlfn.ISOWEEKNUM(Runhours_Table[[#This Row],[Date]]),"00")</f>
        <v>2447</v>
      </c>
      <c r="G64" s="38">
        <v>0</v>
      </c>
      <c r="H64" s="38">
        <v>24</v>
      </c>
      <c r="I64" s="38">
        <f ca="1">_xlfn.ISOWEEKNUM(Runhours_Table[[#This Row],[Date]])+52*(Runhours_Table[[#This Row],[Year]]-YEAR(DATE(YEAR(TODAY()-WEEKDAY(TODAY()-1)+4),1,1)-MOD((DATE(YEAR(TODAY()-WEEKDAY(TODAY()-1)+4),1,1)-2),7)+(7*IF(MOD((DATE(YEAR(TODAY()-WEEKDAY(TODAY()-1)+4),1,1)-2),7)&gt;3,1,0))+7) )-_xlfn.ISOWEEKNUM(NOW())</f>
        <v>-42</v>
      </c>
      <c r="J64" s="345"/>
    </row>
    <row r="65" spans="1:10">
      <c r="A65" s="218" t="s">
        <v>7</v>
      </c>
      <c r="B65" s="6" t="str">
        <f>VLOOKUP(A65,Fleet[],2,FALSE)</f>
        <v>Intel</v>
      </c>
      <c r="C65" s="160">
        <v>45616</v>
      </c>
      <c r="D65" s="346">
        <f>YEAR(DATE(YEAR(Runhours_Table[[#This Row],[Date]]-WEEKDAY(Runhours_Table[[#This Row],[Date]]-1)+4),1,1)-MOD((DATE(YEAR(Runhours_Table[[#This Row],[Date]]-WEEKDAY(Runhours_Table[[#This Row],[Date]]-1)+4),1,1)-2),7)+(7*IF(MOD((DATE(YEAR(Runhours_Table[[#This Row],[Date]]-WEEKDAY(Runhours_Table[[#This Row],[Date]]-1)+4),1,1)-2),7)&gt;3,1,0))+7)</f>
        <v>2024</v>
      </c>
      <c r="E65" s="164">
        <f>_xlfn.ISOWEEKNUM(Runhours_Table[[#This Row],[Date]])</f>
        <v>47</v>
      </c>
      <c r="F65" s="160" t="str">
        <f>RIGHT(YEAR(Runhours_Table[[#This Row],[Date]]),2)&amp;TEXT(_xlfn.ISOWEEKNUM(Runhours_Table[[#This Row],[Date]]),"00")</f>
        <v>2447</v>
      </c>
      <c r="G65" s="38">
        <v>0</v>
      </c>
      <c r="H65" s="38">
        <v>0</v>
      </c>
      <c r="I65" s="38">
        <f ca="1">_xlfn.ISOWEEKNUM(Runhours_Table[[#This Row],[Date]])+52*(Runhours_Table[[#This Row],[Year]]-YEAR(DATE(YEAR(TODAY()-WEEKDAY(TODAY()-1)+4),1,1)-MOD((DATE(YEAR(TODAY()-WEEKDAY(TODAY()-1)+4),1,1)-2),7)+(7*IF(MOD((DATE(YEAR(TODAY()-WEEKDAY(TODAY()-1)+4),1,1)-2),7)&gt;3,1,0))+7) )-_xlfn.ISOWEEKNUM(NOW())</f>
        <v>-42</v>
      </c>
      <c r="J65" s="345"/>
    </row>
    <row r="66" spans="1:10">
      <c r="A66" s="218" t="s">
        <v>4</v>
      </c>
      <c r="B66" s="6" t="str">
        <f>VLOOKUP(A66,Fleet[],2,FALSE)</f>
        <v>Intel</v>
      </c>
      <c r="C66" s="160">
        <v>45617</v>
      </c>
      <c r="D66" s="346">
        <f>YEAR(DATE(YEAR(Runhours_Table[[#This Row],[Date]]-WEEKDAY(Runhours_Table[[#This Row],[Date]]-1)+4),1,1)-MOD((DATE(YEAR(Runhours_Table[[#This Row],[Date]]-WEEKDAY(Runhours_Table[[#This Row],[Date]]-1)+4),1,1)-2),7)+(7*IF(MOD((DATE(YEAR(Runhours_Table[[#This Row],[Date]]-WEEKDAY(Runhours_Table[[#This Row],[Date]]-1)+4),1,1)-2),7)&gt;3,1,0))+7)</f>
        <v>2024</v>
      </c>
      <c r="E66" s="164">
        <f>_xlfn.ISOWEEKNUM(Runhours_Table[[#This Row],[Date]])</f>
        <v>47</v>
      </c>
      <c r="F66" s="160" t="str">
        <f>RIGHT(YEAR(Runhours_Table[[#This Row],[Date]]),2)&amp;TEXT(_xlfn.ISOWEEKNUM(Runhours_Table[[#This Row],[Date]]),"00")</f>
        <v>2447</v>
      </c>
      <c r="G66" s="38">
        <v>4.4000000000000004</v>
      </c>
      <c r="H66" s="38">
        <v>24</v>
      </c>
      <c r="I66" s="38">
        <f ca="1">_xlfn.ISOWEEKNUM(Runhours_Table[[#This Row],[Date]])+52*(Runhours_Table[[#This Row],[Year]]-YEAR(DATE(YEAR(TODAY()-WEEKDAY(TODAY()-1)+4),1,1)-MOD((DATE(YEAR(TODAY()-WEEKDAY(TODAY()-1)+4),1,1)-2),7)+(7*IF(MOD((DATE(YEAR(TODAY()-WEEKDAY(TODAY()-1)+4),1,1)-2),7)&gt;3,1,0))+7) )-_xlfn.ISOWEEKNUM(NOW())</f>
        <v>-42</v>
      </c>
      <c r="J66" s="345"/>
    </row>
    <row r="67" spans="1:10">
      <c r="A67" s="218" t="s">
        <v>7</v>
      </c>
      <c r="B67" s="6" t="str">
        <f>VLOOKUP(A67,Fleet[],2,FALSE)</f>
        <v>Intel</v>
      </c>
      <c r="C67" s="160">
        <v>45617</v>
      </c>
      <c r="D67" s="346">
        <f>YEAR(DATE(YEAR(Runhours_Table[[#This Row],[Date]]-WEEKDAY(Runhours_Table[[#This Row],[Date]]-1)+4),1,1)-MOD((DATE(YEAR(Runhours_Table[[#This Row],[Date]]-WEEKDAY(Runhours_Table[[#This Row],[Date]]-1)+4),1,1)-2),7)+(7*IF(MOD((DATE(YEAR(Runhours_Table[[#This Row],[Date]]-WEEKDAY(Runhours_Table[[#This Row],[Date]]-1)+4),1,1)-2),7)&gt;3,1,0))+7)</f>
        <v>2024</v>
      </c>
      <c r="E67" s="164">
        <f>_xlfn.ISOWEEKNUM(Runhours_Table[[#This Row],[Date]])</f>
        <v>47</v>
      </c>
      <c r="F67" s="160" t="str">
        <f>RIGHT(YEAR(Runhours_Table[[#This Row],[Date]]),2)&amp;TEXT(_xlfn.ISOWEEKNUM(Runhours_Table[[#This Row],[Date]]),"00")</f>
        <v>2447</v>
      </c>
      <c r="G67" s="38">
        <v>0</v>
      </c>
      <c r="H67" s="38">
        <v>0</v>
      </c>
      <c r="I67" s="38">
        <f ca="1">_xlfn.ISOWEEKNUM(Runhours_Table[[#This Row],[Date]])+52*(Runhours_Table[[#This Row],[Year]]-YEAR(DATE(YEAR(TODAY()-WEEKDAY(TODAY()-1)+4),1,1)-MOD((DATE(YEAR(TODAY()-WEEKDAY(TODAY()-1)+4),1,1)-2),7)+(7*IF(MOD((DATE(YEAR(TODAY()-WEEKDAY(TODAY()-1)+4),1,1)-2),7)&gt;3,1,0))+7) )-_xlfn.ISOWEEKNUM(NOW())</f>
        <v>-42</v>
      </c>
      <c r="J67" s="345"/>
    </row>
    <row r="68" spans="1:10">
      <c r="A68" s="218" t="s">
        <v>4</v>
      </c>
      <c r="B68" s="6" t="str">
        <f>VLOOKUP(A68,Fleet[],2,FALSE)</f>
        <v>Intel</v>
      </c>
      <c r="C68" s="160">
        <v>45618</v>
      </c>
      <c r="D68" s="346">
        <f>YEAR(DATE(YEAR(Runhours_Table[[#This Row],[Date]]-WEEKDAY(Runhours_Table[[#This Row],[Date]]-1)+4),1,1)-MOD((DATE(YEAR(Runhours_Table[[#This Row],[Date]]-WEEKDAY(Runhours_Table[[#This Row],[Date]]-1)+4),1,1)-2),7)+(7*IF(MOD((DATE(YEAR(Runhours_Table[[#This Row],[Date]]-WEEKDAY(Runhours_Table[[#This Row],[Date]]-1)+4),1,1)-2),7)&gt;3,1,0))+7)</f>
        <v>2024</v>
      </c>
      <c r="E68" s="164">
        <f>_xlfn.ISOWEEKNUM(Runhours_Table[[#This Row],[Date]])</f>
        <v>47</v>
      </c>
      <c r="F68" s="160" t="str">
        <f>RIGHT(YEAR(Runhours_Table[[#This Row],[Date]]),2)&amp;TEXT(_xlfn.ISOWEEKNUM(Runhours_Table[[#This Row],[Date]]),"00")</f>
        <v>2447</v>
      </c>
      <c r="G68" s="38">
        <v>1</v>
      </c>
      <c r="H68" s="38">
        <v>3</v>
      </c>
      <c r="I68" s="38">
        <f ca="1">_xlfn.ISOWEEKNUM(Runhours_Table[[#This Row],[Date]])+52*(Runhours_Table[[#This Row],[Year]]-YEAR(DATE(YEAR(TODAY()-WEEKDAY(TODAY()-1)+4),1,1)-MOD((DATE(YEAR(TODAY()-WEEKDAY(TODAY()-1)+4),1,1)-2),7)+(7*IF(MOD((DATE(YEAR(TODAY()-WEEKDAY(TODAY()-1)+4),1,1)-2),7)&gt;3,1,0))+7) )-_xlfn.ISOWEEKNUM(NOW())</f>
        <v>-42</v>
      </c>
      <c r="J68" s="345"/>
    </row>
    <row r="69" spans="1:10">
      <c r="A69" s="218" t="s">
        <v>7</v>
      </c>
      <c r="B69" s="6" t="str">
        <f>VLOOKUP(A69,Fleet[],2,FALSE)</f>
        <v>Intel</v>
      </c>
      <c r="C69" s="160">
        <v>45618</v>
      </c>
      <c r="D69" s="346">
        <f>YEAR(DATE(YEAR(Runhours_Table[[#This Row],[Date]]-WEEKDAY(Runhours_Table[[#This Row],[Date]]-1)+4),1,1)-MOD((DATE(YEAR(Runhours_Table[[#This Row],[Date]]-WEEKDAY(Runhours_Table[[#This Row],[Date]]-1)+4),1,1)-2),7)+(7*IF(MOD((DATE(YEAR(Runhours_Table[[#This Row],[Date]]-WEEKDAY(Runhours_Table[[#This Row],[Date]]-1)+4),1,1)-2),7)&gt;3,1,0))+7)</f>
        <v>2024</v>
      </c>
      <c r="E69" s="164">
        <f>_xlfn.ISOWEEKNUM(Runhours_Table[[#This Row],[Date]])</f>
        <v>47</v>
      </c>
      <c r="F69" s="160" t="str">
        <f>RIGHT(YEAR(Runhours_Table[[#This Row],[Date]]),2)&amp;TEXT(_xlfn.ISOWEEKNUM(Runhours_Table[[#This Row],[Date]]),"00")</f>
        <v>2447</v>
      </c>
      <c r="G69" s="38">
        <v>0</v>
      </c>
      <c r="H69" s="38">
        <v>0</v>
      </c>
      <c r="I69" s="38">
        <f ca="1">_xlfn.ISOWEEKNUM(Runhours_Table[[#This Row],[Date]])+52*(Runhours_Table[[#This Row],[Year]]-YEAR(DATE(YEAR(TODAY()-WEEKDAY(TODAY()-1)+4),1,1)-MOD((DATE(YEAR(TODAY()-WEEKDAY(TODAY()-1)+4),1,1)-2),7)+(7*IF(MOD((DATE(YEAR(TODAY()-WEEKDAY(TODAY()-1)+4),1,1)-2),7)&gt;3,1,0))+7) )-_xlfn.ISOWEEKNUM(NOW())</f>
        <v>-42</v>
      </c>
      <c r="J69" s="345"/>
    </row>
    <row r="70" spans="1:10">
      <c r="A70" s="218" t="s">
        <v>4</v>
      </c>
      <c r="B70" s="6" t="str">
        <f>VLOOKUP(A70,Fleet[],2,FALSE)</f>
        <v>Intel</v>
      </c>
      <c r="C70" s="160">
        <v>45619</v>
      </c>
      <c r="D70" s="346">
        <f>YEAR(DATE(YEAR(Runhours_Table[[#This Row],[Date]]-WEEKDAY(Runhours_Table[[#This Row],[Date]]-1)+4),1,1)-MOD((DATE(YEAR(Runhours_Table[[#This Row],[Date]]-WEEKDAY(Runhours_Table[[#This Row],[Date]]-1)+4),1,1)-2),7)+(7*IF(MOD((DATE(YEAR(Runhours_Table[[#This Row],[Date]]-WEEKDAY(Runhours_Table[[#This Row],[Date]]-1)+4),1,1)-2),7)&gt;3,1,0))+7)</f>
        <v>2024</v>
      </c>
      <c r="E70" s="164">
        <f>_xlfn.ISOWEEKNUM(Runhours_Table[[#This Row],[Date]])</f>
        <v>47</v>
      </c>
      <c r="F70" s="160" t="str">
        <f>RIGHT(YEAR(Runhours_Table[[#This Row],[Date]]),2)&amp;TEXT(_xlfn.ISOWEEKNUM(Runhours_Table[[#This Row],[Date]]),"00")</f>
        <v>2447</v>
      </c>
      <c r="G70" s="38">
        <v>0</v>
      </c>
      <c r="H70" s="38">
        <v>3</v>
      </c>
      <c r="I70" s="38">
        <f ca="1">_xlfn.ISOWEEKNUM(Runhours_Table[[#This Row],[Date]])+52*(Runhours_Table[[#This Row],[Year]]-YEAR(DATE(YEAR(TODAY()-WEEKDAY(TODAY()-1)+4),1,1)-MOD((DATE(YEAR(TODAY()-WEEKDAY(TODAY()-1)+4),1,1)-2),7)+(7*IF(MOD((DATE(YEAR(TODAY()-WEEKDAY(TODAY()-1)+4),1,1)-2),7)&gt;3,1,0))+7) )-_xlfn.ISOWEEKNUM(NOW())</f>
        <v>-42</v>
      </c>
      <c r="J70" s="345"/>
    </row>
    <row r="71" spans="1:10">
      <c r="A71" s="218" t="s">
        <v>7</v>
      </c>
      <c r="B71" s="6" t="str">
        <f>VLOOKUP(A71,Fleet[],2,FALSE)</f>
        <v>Intel</v>
      </c>
      <c r="C71" s="160">
        <v>45619</v>
      </c>
      <c r="D71" s="346">
        <f>YEAR(DATE(YEAR(Runhours_Table[[#This Row],[Date]]-WEEKDAY(Runhours_Table[[#This Row],[Date]]-1)+4),1,1)-MOD((DATE(YEAR(Runhours_Table[[#This Row],[Date]]-WEEKDAY(Runhours_Table[[#This Row],[Date]]-1)+4),1,1)-2),7)+(7*IF(MOD((DATE(YEAR(Runhours_Table[[#This Row],[Date]]-WEEKDAY(Runhours_Table[[#This Row],[Date]]-1)+4),1,1)-2),7)&gt;3,1,0))+7)</f>
        <v>2024</v>
      </c>
      <c r="E71" s="164">
        <f>_xlfn.ISOWEEKNUM(Runhours_Table[[#This Row],[Date]])</f>
        <v>47</v>
      </c>
      <c r="F71" s="160" t="str">
        <f>RIGHT(YEAR(Runhours_Table[[#This Row],[Date]]),2)&amp;TEXT(_xlfn.ISOWEEKNUM(Runhours_Table[[#This Row],[Date]]),"00")</f>
        <v>2447</v>
      </c>
      <c r="G71" s="38">
        <v>0</v>
      </c>
      <c r="H71" s="38">
        <v>0</v>
      </c>
      <c r="I71" s="38">
        <f ca="1">_xlfn.ISOWEEKNUM(Runhours_Table[[#This Row],[Date]])+52*(Runhours_Table[[#This Row],[Year]]-YEAR(DATE(YEAR(TODAY()-WEEKDAY(TODAY()-1)+4),1,1)-MOD((DATE(YEAR(TODAY()-WEEKDAY(TODAY()-1)+4),1,1)-2),7)+(7*IF(MOD((DATE(YEAR(TODAY()-WEEKDAY(TODAY()-1)+4),1,1)-2),7)&gt;3,1,0))+7) )-_xlfn.ISOWEEKNUM(NOW())</f>
        <v>-42</v>
      </c>
      <c r="J71" s="345"/>
    </row>
    <row r="72" spans="1:10">
      <c r="A72" s="218" t="s">
        <v>4</v>
      </c>
      <c r="B72" s="6" t="str">
        <f>VLOOKUP(A72,Fleet[],2,FALSE)</f>
        <v>Intel</v>
      </c>
      <c r="C72" s="160">
        <v>45620</v>
      </c>
      <c r="D72" s="346">
        <f>YEAR(DATE(YEAR(Runhours_Table[[#This Row],[Date]]-WEEKDAY(Runhours_Table[[#This Row],[Date]]-1)+4),1,1)-MOD((DATE(YEAR(Runhours_Table[[#This Row],[Date]]-WEEKDAY(Runhours_Table[[#This Row],[Date]]-1)+4),1,1)-2),7)+(7*IF(MOD((DATE(YEAR(Runhours_Table[[#This Row],[Date]]-WEEKDAY(Runhours_Table[[#This Row],[Date]]-1)+4),1,1)-2),7)&gt;3,1,0))+7)</f>
        <v>2024</v>
      </c>
      <c r="E72" s="164">
        <f>_xlfn.ISOWEEKNUM(Runhours_Table[[#This Row],[Date]])</f>
        <v>47</v>
      </c>
      <c r="F72" s="160" t="str">
        <f>RIGHT(YEAR(Runhours_Table[[#This Row],[Date]]),2)&amp;TEXT(_xlfn.ISOWEEKNUM(Runhours_Table[[#This Row],[Date]]),"00")</f>
        <v>2447</v>
      </c>
      <c r="G72" s="38">
        <v>1.1000000000000001</v>
      </c>
      <c r="H72" s="38">
        <v>14</v>
      </c>
      <c r="I72" s="38">
        <f ca="1">_xlfn.ISOWEEKNUM(Runhours_Table[[#This Row],[Date]])+52*(Runhours_Table[[#This Row],[Year]]-YEAR(DATE(YEAR(TODAY()-WEEKDAY(TODAY()-1)+4),1,1)-MOD((DATE(YEAR(TODAY()-WEEKDAY(TODAY()-1)+4),1,1)-2),7)+(7*IF(MOD((DATE(YEAR(TODAY()-WEEKDAY(TODAY()-1)+4),1,1)-2),7)&gt;3,1,0))+7) )-_xlfn.ISOWEEKNUM(NOW())</f>
        <v>-42</v>
      </c>
      <c r="J72" s="345"/>
    </row>
    <row r="73" spans="1:10">
      <c r="A73" s="218" t="s">
        <v>7</v>
      </c>
      <c r="B73" s="6" t="str">
        <f>VLOOKUP(A73,Fleet[],2,FALSE)</f>
        <v>Intel</v>
      </c>
      <c r="C73" s="160">
        <v>45620</v>
      </c>
      <c r="D73" s="346">
        <f>YEAR(DATE(YEAR(Runhours_Table[[#This Row],[Date]]-WEEKDAY(Runhours_Table[[#This Row],[Date]]-1)+4),1,1)-MOD((DATE(YEAR(Runhours_Table[[#This Row],[Date]]-WEEKDAY(Runhours_Table[[#This Row],[Date]]-1)+4),1,1)-2),7)+(7*IF(MOD((DATE(YEAR(Runhours_Table[[#This Row],[Date]]-WEEKDAY(Runhours_Table[[#This Row],[Date]]-1)+4),1,1)-2),7)&gt;3,1,0))+7)</f>
        <v>2024</v>
      </c>
      <c r="E73" s="164">
        <f>_xlfn.ISOWEEKNUM(Runhours_Table[[#This Row],[Date]])</f>
        <v>47</v>
      </c>
      <c r="F73" s="160" t="str">
        <f>RIGHT(YEAR(Runhours_Table[[#This Row],[Date]]),2)&amp;TEXT(_xlfn.ISOWEEKNUM(Runhours_Table[[#This Row],[Date]]),"00")</f>
        <v>2447</v>
      </c>
      <c r="G73" s="38">
        <v>0</v>
      </c>
      <c r="H73" s="38">
        <v>0</v>
      </c>
      <c r="I73" s="38">
        <f ca="1">_xlfn.ISOWEEKNUM(Runhours_Table[[#This Row],[Date]])+52*(Runhours_Table[[#This Row],[Year]]-YEAR(DATE(YEAR(TODAY()-WEEKDAY(TODAY()-1)+4),1,1)-MOD((DATE(YEAR(TODAY()-WEEKDAY(TODAY()-1)+4),1,1)-2),7)+(7*IF(MOD((DATE(YEAR(TODAY()-WEEKDAY(TODAY()-1)+4),1,1)-2),7)&gt;3,1,0))+7) )-_xlfn.ISOWEEKNUM(NOW())</f>
        <v>-42</v>
      </c>
      <c r="J73" s="345"/>
    </row>
    <row r="74" spans="1:10">
      <c r="A74" s="218" t="s">
        <v>4</v>
      </c>
      <c r="B74" s="6" t="str">
        <f>VLOOKUP(A74,Fleet[],2,FALSE)</f>
        <v>Intel</v>
      </c>
      <c r="C74" s="160">
        <v>45621</v>
      </c>
      <c r="D74" s="346">
        <f>YEAR(DATE(YEAR(Runhours_Table[[#This Row],[Date]]-WEEKDAY(Runhours_Table[[#This Row],[Date]]-1)+4),1,1)-MOD((DATE(YEAR(Runhours_Table[[#This Row],[Date]]-WEEKDAY(Runhours_Table[[#This Row],[Date]]-1)+4),1,1)-2),7)+(7*IF(MOD((DATE(YEAR(Runhours_Table[[#This Row],[Date]]-WEEKDAY(Runhours_Table[[#This Row],[Date]]-1)+4),1,1)-2),7)&gt;3,1,0))+7)</f>
        <v>2024</v>
      </c>
      <c r="E74" s="164">
        <f>_xlfn.ISOWEEKNUM(Runhours_Table[[#This Row],[Date]])</f>
        <v>48</v>
      </c>
      <c r="F74" s="160" t="str">
        <f>RIGHT(YEAR(Runhours_Table[[#This Row],[Date]]),2)&amp;TEXT(_xlfn.ISOWEEKNUM(Runhours_Table[[#This Row],[Date]]),"00")</f>
        <v>2448</v>
      </c>
      <c r="G74" s="38">
        <v>2.2000000000000002</v>
      </c>
      <c r="H74" s="38">
        <v>16</v>
      </c>
      <c r="I74" s="38">
        <f ca="1">_xlfn.ISOWEEKNUM(Runhours_Table[[#This Row],[Date]])+52*(Runhours_Table[[#This Row],[Year]]-YEAR(DATE(YEAR(TODAY()-WEEKDAY(TODAY()-1)+4),1,1)-MOD((DATE(YEAR(TODAY()-WEEKDAY(TODAY()-1)+4),1,1)-2),7)+(7*IF(MOD((DATE(YEAR(TODAY()-WEEKDAY(TODAY()-1)+4),1,1)-2),7)&gt;3,1,0))+7) )-_xlfn.ISOWEEKNUM(NOW())</f>
        <v>-41</v>
      </c>
      <c r="J74" s="345"/>
    </row>
    <row r="75" spans="1:10">
      <c r="A75" s="218" t="s">
        <v>7</v>
      </c>
      <c r="B75" s="6" t="str">
        <f>VLOOKUP(A75,Fleet[],2,FALSE)</f>
        <v>Intel</v>
      </c>
      <c r="C75" s="160">
        <v>45621</v>
      </c>
      <c r="D75" s="346">
        <f>YEAR(DATE(YEAR(Runhours_Table[[#This Row],[Date]]-WEEKDAY(Runhours_Table[[#This Row],[Date]]-1)+4),1,1)-MOD((DATE(YEAR(Runhours_Table[[#This Row],[Date]]-WEEKDAY(Runhours_Table[[#This Row],[Date]]-1)+4),1,1)-2),7)+(7*IF(MOD((DATE(YEAR(Runhours_Table[[#This Row],[Date]]-WEEKDAY(Runhours_Table[[#This Row],[Date]]-1)+4),1,1)-2),7)&gt;3,1,0))+7)</f>
        <v>2024</v>
      </c>
      <c r="E75" s="164">
        <f>_xlfn.ISOWEEKNUM(Runhours_Table[[#This Row],[Date]])</f>
        <v>48</v>
      </c>
      <c r="F75" s="160" t="str">
        <f>RIGHT(YEAR(Runhours_Table[[#This Row],[Date]]),2)&amp;TEXT(_xlfn.ISOWEEKNUM(Runhours_Table[[#This Row],[Date]]),"00")</f>
        <v>2448</v>
      </c>
      <c r="G75" s="38">
        <v>0</v>
      </c>
      <c r="H75" s="38">
        <v>0</v>
      </c>
      <c r="I75" s="38">
        <f ca="1">_xlfn.ISOWEEKNUM(Runhours_Table[[#This Row],[Date]])+52*(Runhours_Table[[#This Row],[Year]]-YEAR(DATE(YEAR(TODAY()-WEEKDAY(TODAY()-1)+4),1,1)-MOD((DATE(YEAR(TODAY()-WEEKDAY(TODAY()-1)+4),1,1)-2),7)+(7*IF(MOD((DATE(YEAR(TODAY()-WEEKDAY(TODAY()-1)+4),1,1)-2),7)&gt;3,1,0))+7) )-_xlfn.ISOWEEKNUM(NOW())</f>
        <v>-41</v>
      </c>
      <c r="J75" s="345"/>
    </row>
    <row r="76" spans="1:10">
      <c r="A76" s="218" t="s">
        <v>4</v>
      </c>
      <c r="B76" s="6" t="str">
        <f>VLOOKUP(A76,Fleet[],2,FALSE)</f>
        <v>Intel</v>
      </c>
      <c r="C76" s="160">
        <v>45622</v>
      </c>
      <c r="D76" s="346">
        <f>YEAR(DATE(YEAR(Runhours_Table[[#This Row],[Date]]-WEEKDAY(Runhours_Table[[#This Row],[Date]]-1)+4),1,1)-MOD((DATE(YEAR(Runhours_Table[[#This Row],[Date]]-WEEKDAY(Runhours_Table[[#This Row],[Date]]-1)+4),1,1)-2),7)+(7*IF(MOD((DATE(YEAR(Runhours_Table[[#This Row],[Date]]-WEEKDAY(Runhours_Table[[#This Row],[Date]]-1)+4),1,1)-2),7)&gt;3,1,0))+7)</f>
        <v>2024</v>
      </c>
      <c r="E76" s="164">
        <f>_xlfn.ISOWEEKNUM(Runhours_Table[[#This Row],[Date]])</f>
        <v>48</v>
      </c>
      <c r="F76" s="160" t="str">
        <f>RIGHT(YEAR(Runhours_Table[[#This Row],[Date]]),2)&amp;TEXT(_xlfn.ISOWEEKNUM(Runhours_Table[[#This Row],[Date]]),"00")</f>
        <v>2448</v>
      </c>
      <c r="G76" s="38">
        <v>2.4</v>
      </c>
      <c r="H76" s="38">
        <v>10</v>
      </c>
      <c r="I76" s="38">
        <f ca="1">_xlfn.ISOWEEKNUM(Runhours_Table[[#This Row],[Date]])+52*(Runhours_Table[[#This Row],[Year]]-YEAR(DATE(YEAR(TODAY()-WEEKDAY(TODAY()-1)+4),1,1)-MOD((DATE(YEAR(TODAY()-WEEKDAY(TODAY()-1)+4),1,1)-2),7)+(7*IF(MOD((DATE(YEAR(TODAY()-WEEKDAY(TODAY()-1)+4),1,1)-2),7)&gt;3,1,0))+7) )-_xlfn.ISOWEEKNUM(NOW())</f>
        <v>-41</v>
      </c>
      <c r="J76" s="345"/>
    </row>
    <row r="77" spans="1:10">
      <c r="A77" s="218" t="s">
        <v>7</v>
      </c>
      <c r="B77" s="6" t="str">
        <f>VLOOKUP(A77,Fleet[],2,FALSE)</f>
        <v>Intel</v>
      </c>
      <c r="C77" s="160">
        <v>45622</v>
      </c>
      <c r="D77" s="346">
        <f>YEAR(DATE(YEAR(Runhours_Table[[#This Row],[Date]]-WEEKDAY(Runhours_Table[[#This Row],[Date]]-1)+4),1,1)-MOD((DATE(YEAR(Runhours_Table[[#This Row],[Date]]-WEEKDAY(Runhours_Table[[#This Row],[Date]]-1)+4),1,1)-2),7)+(7*IF(MOD((DATE(YEAR(Runhours_Table[[#This Row],[Date]]-WEEKDAY(Runhours_Table[[#This Row],[Date]]-1)+4),1,1)-2),7)&gt;3,1,0))+7)</f>
        <v>2024</v>
      </c>
      <c r="E77" s="164">
        <f>_xlfn.ISOWEEKNUM(Runhours_Table[[#This Row],[Date]])</f>
        <v>48</v>
      </c>
      <c r="F77" s="160" t="str">
        <f>RIGHT(YEAR(Runhours_Table[[#This Row],[Date]]),2)&amp;TEXT(_xlfn.ISOWEEKNUM(Runhours_Table[[#This Row],[Date]]),"00")</f>
        <v>2448</v>
      </c>
      <c r="G77" s="38">
        <v>0</v>
      </c>
      <c r="H77" s="38">
        <v>0</v>
      </c>
      <c r="I77" s="38">
        <f ca="1">_xlfn.ISOWEEKNUM(Runhours_Table[[#This Row],[Date]])+52*(Runhours_Table[[#This Row],[Year]]-YEAR(DATE(YEAR(TODAY()-WEEKDAY(TODAY()-1)+4),1,1)-MOD((DATE(YEAR(TODAY()-WEEKDAY(TODAY()-1)+4),1,1)-2),7)+(7*IF(MOD((DATE(YEAR(TODAY()-WEEKDAY(TODAY()-1)+4),1,1)-2),7)&gt;3,1,0))+7) )-_xlfn.ISOWEEKNUM(NOW())</f>
        <v>-41</v>
      </c>
      <c r="J77" s="345"/>
    </row>
    <row r="78" spans="1:10">
      <c r="A78" s="218" t="s">
        <v>4</v>
      </c>
      <c r="B78" s="6" t="str">
        <f>VLOOKUP(A78,Fleet[],2,FALSE)</f>
        <v>Intel</v>
      </c>
      <c r="C78" s="160">
        <v>45623</v>
      </c>
      <c r="D78" s="346">
        <f>YEAR(DATE(YEAR(Runhours_Table[[#This Row],[Date]]-WEEKDAY(Runhours_Table[[#This Row],[Date]]-1)+4),1,1)-MOD((DATE(YEAR(Runhours_Table[[#This Row],[Date]]-WEEKDAY(Runhours_Table[[#This Row],[Date]]-1)+4),1,1)-2),7)+(7*IF(MOD((DATE(YEAR(Runhours_Table[[#This Row],[Date]]-WEEKDAY(Runhours_Table[[#This Row],[Date]]-1)+4),1,1)-2),7)&gt;3,1,0))+7)</f>
        <v>2024</v>
      </c>
      <c r="E78" s="164">
        <f>_xlfn.ISOWEEKNUM(Runhours_Table[[#This Row],[Date]])</f>
        <v>48</v>
      </c>
      <c r="F78" s="160" t="str">
        <f>RIGHT(YEAR(Runhours_Table[[#This Row],[Date]]),2)&amp;TEXT(_xlfn.ISOWEEKNUM(Runhours_Table[[#This Row],[Date]]),"00")</f>
        <v>2448</v>
      </c>
      <c r="G78" s="38">
        <v>0.2</v>
      </c>
      <c r="H78" s="38">
        <v>2</v>
      </c>
      <c r="I78" s="38">
        <f ca="1">_xlfn.ISOWEEKNUM(Runhours_Table[[#This Row],[Date]])+52*(Runhours_Table[[#This Row],[Year]]-YEAR(DATE(YEAR(TODAY()-WEEKDAY(TODAY()-1)+4),1,1)-MOD((DATE(YEAR(TODAY()-WEEKDAY(TODAY()-1)+4),1,1)-2),7)+(7*IF(MOD((DATE(YEAR(TODAY()-WEEKDAY(TODAY()-1)+4),1,1)-2),7)&gt;3,1,0))+7) )-_xlfn.ISOWEEKNUM(NOW())</f>
        <v>-41</v>
      </c>
      <c r="J78" s="345"/>
    </row>
    <row r="79" spans="1:10">
      <c r="A79" s="218" t="s">
        <v>7</v>
      </c>
      <c r="B79" s="6" t="str">
        <f>VLOOKUP(A79,Fleet[],2,FALSE)</f>
        <v>Intel</v>
      </c>
      <c r="C79" s="160">
        <v>45623</v>
      </c>
      <c r="D79" s="346">
        <f>YEAR(DATE(YEAR(Runhours_Table[[#This Row],[Date]]-WEEKDAY(Runhours_Table[[#This Row],[Date]]-1)+4),1,1)-MOD((DATE(YEAR(Runhours_Table[[#This Row],[Date]]-WEEKDAY(Runhours_Table[[#This Row],[Date]]-1)+4),1,1)-2),7)+(7*IF(MOD((DATE(YEAR(Runhours_Table[[#This Row],[Date]]-WEEKDAY(Runhours_Table[[#This Row],[Date]]-1)+4),1,1)-2),7)&gt;3,1,0))+7)</f>
        <v>2024</v>
      </c>
      <c r="E79" s="164">
        <f>_xlfn.ISOWEEKNUM(Runhours_Table[[#This Row],[Date]])</f>
        <v>48</v>
      </c>
      <c r="F79" s="160" t="str">
        <f>RIGHT(YEAR(Runhours_Table[[#This Row],[Date]]),2)&amp;TEXT(_xlfn.ISOWEEKNUM(Runhours_Table[[#This Row],[Date]]),"00")</f>
        <v>2448</v>
      </c>
      <c r="G79" s="38">
        <v>0</v>
      </c>
      <c r="H79" s="38">
        <v>0</v>
      </c>
      <c r="I79" s="38">
        <f ca="1">_xlfn.ISOWEEKNUM(Runhours_Table[[#This Row],[Date]])+52*(Runhours_Table[[#This Row],[Year]]-YEAR(DATE(YEAR(TODAY()-WEEKDAY(TODAY()-1)+4),1,1)-MOD((DATE(YEAR(TODAY()-WEEKDAY(TODAY()-1)+4),1,1)-2),7)+(7*IF(MOD((DATE(YEAR(TODAY()-WEEKDAY(TODAY()-1)+4),1,1)-2),7)&gt;3,1,0))+7) )-_xlfn.ISOWEEKNUM(NOW())</f>
        <v>-41</v>
      </c>
      <c r="J79" s="345"/>
    </row>
    <row r="80" spans="1:10">
      <c r="A80" s="218" t="s">
        <v>4</v>
      </c>
      <c r="B80" s="6" t="str">
        <f>VLOOKUP(A80,Fleet[],2,FALSE)</f>
        <v>Intel</v>
      </c>
      <c r="C80" s="160">
        <v>45624</v>
      </c>
      <c r="D80" s="346">
        <f>YEAR(DATE(YEAR(Runhours_Table[[#This Row],[Date]]-WEEKDAY(Runhours_Table[[#This Row],[Date]]-1)+4),1,1)-MOD((DATE(YEAR(Runhours_Table[[#This Row],[Date]]-WEEKDAY(Runhours_Table[[#This Row],[Date]]-1)+4),1,1)-2),7)+(7*IF(MOD((DATE(YEAR(Runhours_Table[[#This Row],[Date]]-WEEKDAY(Runhours_Table[[#This Row],[Date]]-1)+4),1,1)-2),7)&gt;3,1,0))+7)</f>
        <v>2024</v>
      </c>
      <c r="E80" s="164">
        <f>_xlfn.ISOWEEKNUM(Runhours_Table[[#This Row],[Date]])</f>
        <v>48</v>
      </c>
      <c r="F80" s="160" t="str">
        <f>RIGHT(YEAR(Runhours_Table[[#This Row],[Date]]),2)&amp;TEXT(_xlfn.ISOWEEKNUM(Runhours_Table[[#This Row],[Date]]),"00")</f>
        <v>2448</v>
      </c>
      <c r="G80" s="38">
        <v>0</v>
      </c>
      <c r="H80" s="38">
        <v>0</v>
      </c>
      <c r="I80" s="38">
        <f ca="1">_xlfn.ISOWEEKNUM(Runhours_Table[[#This Row],[Date]])+52*(Runhours_Table[[#This Row],[Year]]-YEAR(DATE(YEAR(TODAY()-WEEKDAY(TODAY()-1)+4),1,1)-MOD((DATE(YEAR(TODAY()-WEEKDAY(TODAY()-1)+4),1,1)-2),7)+(7*IF(MOD((DATE(YEAR(TODAY()-WEEKDAY(TODAY()-1)+4),1,1)-2),7)&gt;3,1,0))+7) )-_xlfn.ISOWEEKNUM(NOW())</f>
        <v>-41</v>
      </c>
      <c r="J80" s="345"/>
    </row>
    <row r="81" spans="1:10">
      <c r="A81" s="218" t="s">
        <v>7</v>
      </c>
      <c r="B81" s="6" t="str">
        <f>VLOOKUP(A81,Fleet[],2,FALSE)</f>
        <v>Intel</v>
      </c>
      <c r="C81" s="160">
        <v>45624</v>
      </c>
      <c r="D81" s="346">
        <f>YEAR(DATE(YEAR(Runhours_Table[[#This Row],[Date]]-WEEKDAY(Runhours_Table[[#This Row],[Date]]-1)+4),1,1)-MOD((DATE(YEAR(Runhours_Table[[#This Row],[Date]]-WEEKDAY(Runhours_Table[[#This Row],[Date]]-1)+4),1,1)-2),7)+(7*IF(MOD((DATE(YEAR(Runhours_Table[[#This Row],[Date]]-WEEKDAY(Runhours_Table[[#This Row],[Date]]-1)+4),1,1)-2),7)&gt;3,1,0))+7)</f>
        <v>2024</v>
      </c>
      <c r="E81" s="164">
        <f>_xlfn.ISOWEEKNUM(Runhours_Table[[#This Row],[Date]])</f>
        <v>48</v>
      </c>
      <c r="F81" s="160" t="str">
        <f>RIGHT(YEAR(Runhours_Table[[#This Row],[Date]]),2)&amp;TEXT(_xlfn.ISOWEEKNUM(Runhours_Table[[#This Row],[Date]]),"00")</f>
        <v>2448</v>
      </c>
      <c r="G81" s="38">
        <v>0</v>
      </c>
      <c r="H81" s="38">
        <v>0</v>
      </c>
      <c r="I81" s="38">
        <f ca="1">_xlfn.ISOWEEKNUM(Runhours_Table[[#This Row],[Date]])+52*(Runhours_Table[[#This Row],[Year]]-YEAR(DATE(YEAR(TODAY()-WEEKDAY(TODAY()-1)+4),1,1)-MOD((DATE(YEAR(TODAY()-WEEKDAY(TODAY()-1)+4),1,1)-2),7)+(7*IF(MOD((DATE(YEAR(TODAY()-WEEKDAY(TODAY()-1)+4),1,1)-2),7)&gt;3,1,0))+7) )-_xlfn.ISOWEEKNUM(NOW())</f>
        <v>-41</v>
      </c>
      <c r="J81" s="345"/>
    </row>
    <row r="82" spans="1:10">
      <c r="A82" s="218" t="s">
        <v>4</v>
      </c>
      <c r="B82" s="6" t="str">
        <f>VLOOKUP(A82,Fleet[],2,FALSE)</f>
        <v>Intel</v>
      </c>
      <c r="C82" s="160">
        <v>45625</v>
      </c>
      <c r="D82" s="346">
        <f>YEAR(DATE(YEAR(Runhours_Table[[#This Row],[Date]]-WEEKDAY(Runhours_Table[[#This Row],[Date]]-1)+4),1,1)-MOD((DATE(YEAR(Runhours_Table[[#This Row],[Date]]-WEEKDAY(Runhours_Table[[#This Row],[Date]]-1)+4),1,1)-2),7)+(7*IF(MOD((DATE(YEAR(Runhours_Table[[#This Row],[Date]]-WEEKDAY(Runhours_Table[[#This Row],[Date]]-1)+4),1,1)-2),7)&gt;3,1,0))+7)</f>
        <v>2024</v>
      </c>
      <c r="E82" s="164">
        <f>_xlfn.ISOWEEKNUM(Runhours_Table[[#This Row],[Date]])</f>
        <v>48</v>
      </c>
      <c r="F82" s="160" t="str">
        <f>RIGHT(YEAR(Runhours_Table[[#This Row],[Date]]),2)&amp;TEXT(_xlfn.ISOWEEKNUM(Runhours_Table[[#This Row],[Date]]),"00")</f>
        <v>2448</v>
      </c>
      <c r="G82" s="38">
        <v>0</v>
      </c>
      <c r="H82" s="38">
        <v>0</v>
      </c>
      <c r="I82" s="38">
        <f ca="1">_xlfn.ISOWEEKNUM(Runhours_Table[[#This Row],[Date]])+52*(Runhours_Table[[#This Row],[Year]]-YEAR(DATE(YEAR(TODAY()-WEEKDAY(TODAY()-1)+4),1,1)-MOD((DATE(YEAR(TODAY()-WEEKDAY(TODAY()-1)+4),1,1)-2),7)+(7*IF(MOD((DATE(YEAR(TODAY()-WEEKDAY(TODAY()-1)+4),1,1)-2),7)&gt;3,1,0))+7) )-_xlfn.ISOWEEKNUM(NOW())</f>
        <v>-41</v>
      </c>
      <c r="J82" s="345"/>
    </row>
    <row r="83" spans="1:10">
      <c r="A83" s="218" t="s">
        <v>7</v>
      </c>
      <c r="B83" s="6" t="str">
        <f>VLOOKUP(A83,Fleet[],2,FALSE)</f>
        <v>Intel</v>
      </c>
      <c r="C83" s="160">
        <v>45625</v>
      </c>
      <c r="D83" s="346">
        <f>YEAR(DATE(YEAR(Runhours_Table[[#This Row],[Date]]-WEEKDAY(Runhours_Table[[#This Row],[Date]]-1)+4),1,1)-MOD((DATE(YEAR(Runhours_Table[[#This Row],[Date]]-WEEKDAY(Runhours_Table[[#This Row],[Date]]-1)+4),1,1)-2),7)+(7*IF(MOD((DATE(YEAR(Runhours_Table[[#This Row],[Date]]-WEEKDAY(Runhours_Table[[#This Row],[Date]]-1)+4),1,1)-2),7)&gt;3,1,0))+7)</f>
        <v>2024</v>
      </c>
      <c r="E83" s="164">
        <f>_xlfn.ISOWEEKNUM(Runhours_Table[[#This Row],[Date]])</f>
        <v>48</v>
      </c>
      <c r="F83" s="160" t="str">
        <f>RIGHT(YEAR(Runhours_Table[[#This Row],[Date]]),2)&amp;TEXT(_xlfn.ISOWEEKNUM(Runhours_Table[[#This Row],[Date]]),"00")</f>
        <v>2448</v>
      </c>
      <c r="G83" s="38">
        <v>0</v>
      </c>
      <c r="H83" s="38">
        <v>0</v>
      </c>
      <c r="I83" s="38">
        <f ca="1">_xlfn.ISOWEEKNUM(Runhours_Table[[#This Row],[Date]])+52*(Runhours_Table[[#This Row],[Year]]-YEAR(DATE(YEAR(TODAY()-WEEKDAY(TODAY()-1)+4),1,1)-MOD((DATE(YEAR(TODAY()-WEEKDAY(TODAY()-1)+4),1,1)-2),7)+(7*IF(MOD((DATE(YEAR(TODAY()-WEEKDAY(TODAY()-1)+4),1,1)-2),7)&gt;3,1,0))+7) )-_xlfn.ISOWEEKNUM(NOW())</f>
        <v>-41</v>
      </c>
      <c r="J83" s="345"/>
    </row>
    <row r="84" spans="1:10">
      <c r="A84" s="6" t="s">
        <v>4</v>
      </c>
      <c r="B84" s="6" t="str">
        <f>VLOOKUP(A84,Fleet[],2,FALSE)</f>
        <v>Intel</v>
      </c>
      <c r="C84" s="160">
        <v>45626</v>
      </c>
      <c r="D84" s="346">
        <f>YEAR(DATE(YEAR(Runhours_Table[[#This Row],[Date]]-WEEKDAY(Runhours_Table[[#This Row],[Date]]-1)+4),1,1)-MOD((DATE(YEAR(Runhours_Table[[#This Row],[Date]]-WEEKDAY(Runhours_Table[[#This Row],[Date]]-1)+4),1,1)-2),7)+(7*IF(MOD((DATE(YEAR(Runhours_Table[[#This Row],[Date]]-WEEKDAY(Runhours_Table[[#This Row],[Date]]-1)+4),1,1)-2),7)&gt;3,1,0))+7)</f>
        <v>2024</v>
      </c>
      <c r="E84" s="164">
        <f>_xlfn.ISOWEEKNUM(Runhours_Table[[#This Row],[Date]])</f>
        <v>48</v>
      </c>
      <c r="F84" s="160" t="str">
        <f>RIGHT(YEAR(Runhours_Table[[#This Row],[Date]]),2)&amp;TEXT(_xlfn.ISOWEEKNUM(Runhours_Table[[#This Row],[Date]]),"00")</f>
        <v>2448</v>
      </c>
      <c r="G84" s="38">
        <v>0</v>
      </c>
      <c r="H84" s="38">
        <v>8</v>
      </c>
      <c r="I84" s="38">
        <f ca="1">_xlfn.ISOWEEKNUM(Runhours_Table[[#This Row],[Date]])+52*(Runhours_Table[[#This Row],[Year]]-YEAR(DATE(YEAR(TODAY()-WEEKDAY(TODAY()-1)+4),1,1)-MOD((DATE(YEAR(TODAY()-WEEKDAY(TODAY()-1)+4),1,1)-2),7)+(7*IF(MOD((DATE(YEAR(TODAY()-WEEKDAY(TODAY()-1)+4),1,1)-2),7)&gt;3,1,0))+7) )-_xlfn.ISOWEEKNUM(NOW())</f>
        <v>-41</v>
      </c>
      <c r="J84" s="345"/>
    </row>
    <row r="85" spans="1:10">
      <c r="A85" s="6" t="s">
        <v>7</v>
      </c>
      <c r="B85" s="6" t="str">
        <f>VLOOKUP(A85,Fleet[],2,FALSE)</f>
        <v>Intel</v>
      </c>
      <c r="C85" s="160">
        <v>45626</v>
      </c>
      <c r="D85" s="346">
        <f>YEAR(DATE(YEAR(Runhours_Table[[#This Row],[Date]]-WEEKDAY(Runhours_Table[[#This Row],[Date]]-1)+4),1,1)-MOD((DATE(YEAR(Runhours_Table[[#This Row],[Date]]-WEEKDAY(Runhours_Table[[#This Row],[Date]]-1)+4),1,1)-2),7)+(7*IF(MOD((DATE(YEAR(Runhours_Table[[#This Row],[Date]]-WEEKDAY(Runhours_Table[[#This Row],[Date]]-1)+4),1,1)-2),7)&gt;3,1,0))+7)</f>
        <v>2024</v>
      </c>
      <c r="E85" s="164">
        <f>_xlfn.ISOWEEKNUM(Runhours_Table[[#This Row],[Date]])</f>
        <v>48</v>
      </c>
      <c r="F85" s="160" t="str">
        <f>RIGHT(YEAR(Runhours_Table[[#This Row],[Date]]),2)&amp;TEXT(_xlfn.ISOWEEKNUM(Runhours_Table[[#This Row],[Date]]),"00")</f>
        <v>2448</v>
      </c>
      <c r="G85" s="38">
        <v>0</v>
      </c>
      <c r="H85" s="38">
        <v>0</v>
      </c>
      <c r="I85" s="38">
        <f ca="1">_xlfn.ISOWEEKNUM(Runhours_Table[[#This Row],[Date]])+52*(Runhours_Table[[#This Row],[Year]]-YEAR(DATE(YEAR(TODAY()-WEEKDAY(TODAY()-1)+4),1,1)-MOD((DATE(YEAR(TODAY()-WEEKDAY(TODAY()-1)+4),1,1)-2),7)+(7*IF(MOD((DATE(YEAR(TODAY()-WEEKDAY(TODAY()-1)+4),1,1)-2),7)&gt;3,1,0))+7) )-_xlfn.ISOWEEKNUM(NOW())</f>
        <v>-41</v>
      </c>
      <c r="J85" s="345"/>
    </row>
    <row r="86" spans="1:10">
      <c r="A86" s="6" t="s">
        <v>4</v>
      </c>
      <c r="B86" s="6" t="str">
        <f>VLOOKUP(A86,Fleet[],2,FALSE)</f>
        <v>Intel</v>
      </c>
      <c r="C86" s="160">
        <v>45627</v>
      </c>
      <c r="D86" s="346">
        <f>YEAR(DATE(YEAR(Runhours_Table[[#This Row],[Date]]-WEEKDAY(Runhours_Table[[#This Row],[Date]]-1)+4),1,1)-MOD((DATE(YEAR(Runhours_Table[[#This Row],[Date]]-WEEKDAY(Runhours_Table[[#This Row],[Date]]-1)+4),1,1)-2),7)+(7*IF(MOD((DATE(YEAR(Runhours_Table[[#This Row],[Date]]-WEEKDAY(Runhours_Table[[#This Row],[Date]]-1)+4),1,1)-2),7)&gt;3,1,0))+7)</f>
        <v>2024</v>
      </c>
      <c r="E86" s="164">
        <f>_xlfn.ISOWEEKNUM(Runhours_Table[[#This Row],[Date]])</f>
        <v>48</v>
      </c>
      <c r="F86" s="160" t="str">
        <f>RIGHT(YEAR(Runhours_Table[[#This Row],[Date]]),2)&amp;TEXT(_xlfn.ISOWEEKNUM(Runhours_Table[[#This Row],[Date]]),"00")</f>
        <v>2448</v>
      </c>
      <c r="G86" s="38">
        <v>0</v>
      </c>
      <c r="H86" s="38">
        <v>8</v>
      </c>
      <c r="I86" s="38">
        <f ca="1">_xlfn.ISOWEEKNUM(Runhours_Table[[#This Row],[Date]])+52*(Runhours_Table[[#This Row],[Year]]-YEAR(DATE(YEAR(TODAY()-WEEKDAY(TODAY()-1)+4),1,1)-MOD((DATE(YEAR(TODAY()-WEEKDAY(TODAY()-1)+4),1,1)-2),7)+(7*IF(MOD((DATE(YEAR(TODAY()-WEEKDAY(TODAY()-1)+4),1,1)-2),7)&gt;3,1,0))+7) )-_xlfn.ISOWEEKNUM(NOW())</f>
        <v>-41</v>
      </c>
      <c r="J86" s="345"/>
    </row>
    <row r="87" spans="1:10">
      <c r="A87" s="6" t="s">
        <v>7</v>
      </c>
      <c r="B87" s="6" t="str">
        <f>VLOOKUP(A87,Fleet[],2,FALSE)</f>
        <v>Intel</v>
      </c>
      <c r="C87" s="160">
        <v>45627</v>
      </c>
      <c r="D87" s="346">
        <f>YEAR(DATE(YEAR(Runhours_Table[[#This Row],[Date]]-WEEKDAY(Runhours_Table[[#This Row],[Date]]-1)+4),1,1)-MOD((DATE(YEAR(Runhours_Table[[#This Row],[Date]]-WEEKDAY(Runhours_Table[[#This Row],[Date]]-1)+4),1,1)-2),7)+(7*IF(MOD((DATE(YEAR(Runhours_Table[[#This Row],[Date]]-WEEKDAY(Runhours_Table[[#This Row],[Date]]-1)+4),1,1)-2),7)&gt;3,1,0))+7)</f>
        <v>2024</v>
      </c>
      <c r="E87" s="164">
        <f>_xlfn.ISOWEEKNUM(Runhours_Table[[#This Row],[Date]])</f>
        <v>48</v>
      </c>
      <c r="F87" s="160" t="str">
        <f>RIGHT(YEAR(Runhours_Table[[#This Row],[Date]]),2)&amp;TEXT(_xlfn.ISOWEEKNUM(Runhours_Table[[#This Row],[Date]]),"00")</f>
        <v>2448</v>
      </c>
      <c r="G87" s="38">
        <v>0</v>
      </c>
      <c r="H87" s="38">
        <v>0</v>
      </c>
      <c r="I87" s="38">
        <f ca="1">_xlfn.ISOWEEKNUM(Runhours_Table[[#This Row],[Date]])+52*(Runhours_Table[[#This Row],[Year]]-YEAR(DATE(YEAR(TODAY()-WEEKDAY(TODAY()-1)+4),1,1)-MOD((DATE(YEAR(TODAY()-WEEKDAY(TODAY()-1)+4),1,1)-2),7)+(7*IF(MOD((DATE(YEAR(TODAY()-WEEKDAY(TODAY()-1)+4),1,1)-2),7)&gt;3,1,0))+7) )-_xlfn.ISOWEEKNUM(NOW())</f>
        <v>-41</v>
      </c>
      <c r="J87" s="345"/>
    </row>
    <row r="88" spans="1:10">
      <c r="A88" s="6" t="s">
        <v>4</v>
      </c>
      <c r="B88" s="6" t="str">
        <f>VLOOKUP(A88,Fleet[],2,FALSE)</f>
        <v>Intel</v>
      </c>
      <c r="C88" s="160">
        <v>45628</v>
      </c>
      <c r="D88" s="346">
        <f>YEAR(DATE(YEAR(Runhours_Table[[#This Row],[Date]]-WEEKDAY(Runhours_Table[[#This Row],[Date]]-1)+4),1,1)-MOD((DATE(YEAR(Runhours_Table[[#This Row],[Date]]-WEEKDAY(Runhours_Table[[#This Row],[Date]]-1)+4),1,1)-2),7)+(7*IF(MOD((DATE(YEAR(Runhours_Table[[#This Row],[Date]]-WEEKDAY(Runhours_Table[[#This Row],[Date]]-1)+4),1,1)-2),7)&gt;3,1,0))+7)</f>
        <v>2024</v>
      </c>
      <c r="E88" s="164">
        <f>_xlfn.ISOWEEKNUM(Runhours_Table[[#This Row],[Date]])</f>
        <v>49</v>
      </c>
      <c r="F88" s="160" t="str">
        <f>RIGHT(YEAR(Runhours_Table[[#This Row],[Date]]),2)&amp;TEXT(_xlfn.ISOWEEKNUM(Runhours_Table[[#This Row],[Date]]),"00")</f>
        <v>2449</v>
      </c>
      <c r="G88" s="38">
        <v>0</v>
      </c>
      <c r="H88" s="38">
        <v>0</v>
      </c>
      <c r="I88" s="38">
        <f ca="1">_xlfn.ISOWEEKNUM(Runhours_Table[[#This Row],[Date]])+52*(Runhours_Table[[#This Row],[Year]]-YEAR(DATE(YEAR(TODAY()-WEEKDAY(TODAY()-1)+4),1,1)-MOD((DATE(YEAR(TODAY()-WEEKDAY(TODAY()-1)+4),1,1)-2),7)+(7*IF(MOD((DATE(YEAR(TODAY()-WEEKDAY(TODAY()-1)+4),1,1)-2),7)&gt;3,1,0))+7) )-_xlfn.ISOWEEKNUM(NOW())</f>
        <v>-40</v>
      </c>
      <c r="J88" s="345"/>
    </row>
    <row r="89" spans="1:10">
      <c r="A89" s="6" t="s">
        <v>7</v>
      </c>
      <c r="B89" s="6" t="str">
        <f>VLOOKUP(A89,Fleet[],2,FALSE)</f>
        <v>Intel</v>
      </c>
      <c r="C89" s="160">
        <v>45628</v>
      </c>
      <c r="D89" s="346">
        <f>YEAR(DATE(YEAR(Runhours_Table[[#This Row],[Date]]-WEEKDAY(Runhours_Table[[#This Row],[Date]]-1)+4),1,1)-MOD((DATE(YEAR(Runhours_Table[[#This Row],[Date]]-WEEKDAY(Runhours_Table[[#This Row],[Date]]-1)+4),1,1)-2),7)+(7*IF(MOD((DATE(YEAR(Runhours_Table[[#This Row],[Date]]-WEEKDAY(Runhours_Table[[#This Row],[Date]]-1)+4),1,1)-2),7)&gt;3,1,0))+7)</f>
        <v>2024</v>
      </c>
      <c r="E89" s="164">
        <f>_xlfn.ISOWEEKNUM(Runhours_Table[[#This Row],[Date]])</f>
        <v>49</v>
      </c>
      <c r="F89" s="160" t="str">
        <f>RIGHT(YEAR(Runhours_Table[[#This Row],[Date]]),2)&amp;TEXT(_xlfn.ISOWEEKNUM(Runhours_Table[[#This Row],[Date]]),"00")</f>
        <v>2449</v>
      </c>
      <c r="G89" s="38">
        <v>0</v>
      </c>
      <c r="H89" s="38">
        <v>0</v>
      </c>
      <c r="I89" s="38">
        <f ca="1">_xlfn.ISOWEEKNUM(Runhours_Table[[#This Row],[Date]])+52*(Runhours_Table[[#This Row],[Year]]-YEAR(DATE(YEAR(TODAY()-WEEKDAY(TODAY()-1)+4),1,1)-MOD((DATE(YEAR(TODAY()-WEEKDAY(TODAY()-1)+4),1,1)-2),7)+(7*IF(MOD((DATE(YEAR(TODAY()-WEEKDAY(TODAY()-1)+4),1,1)-2),7)&gt;3,1,0))+7) )-_xlfn.ISOWEEKNUM(NOW())</f>
        <v>-40</v>
      </c>
      <c r="J89" s="345"/>
    </row>
    <row r="90" spans="1:10">
      <c r="A90" s="6" t="s">
        <v>4</v>
      </c>
      <c r="B90" s="6" t="str">
        <f>VLOOKUP(A90,Fleet[],2,FALSE)</f>
        <v>Intel</v>
      </c>
      <c r="C90" s="160">
        <v>45629</v>
      </c>
      <c r="D90" s="346">
        <f>YEAR(DATE(YEAR(Runhours_Table[[#This Row],[Date]]-WEEKDAY(Runhours_Table[[#This Row],[Date]]-1)+4),1,1)-MOD((DATE(YEAR(Runhours_Table[[#This Row],[Date]]-WEEKDAY(Runhours_Table[[#This Row],[Date]]-1)+4),1,1)-2),7)+(7*IF(MOD((DATE(YEAR(Runhours_Table[[#This Row],[Date]]-WEEKDAY(Runhours_Table[[#This Row],[Date]]-1)+4),1,1)-2),7)&gt;3,1,0))+7)</f>
        <v>2024</v>
      </c>
      <c r="E90" s="164">
        <f>_xlfn.ISOWEEKNUM(Runhours_Table[[#This Row],[Date]])</f>
        <v>49</v>
      </c>
      <c r="F90" s="160" t="str">
        <f>RIGHT(YEAR(Runhours_Table[[#This Row],[Date]]),2)&amp;TEXT(_xlfn.ISOWEEKNUM(Runhours_Table[[#This Row],[Date]]),"00")</f>
        <v>2449</v>
      </c>
      <c r="G90" s="38">
        <v>0</v>
      </c>
      <c r="H90" s="38">
        <v>0</v>
      </c>
      <c r="I90" s="38">
        <f ca="1">_xlfn.ISOWEEKNUM(Runhours_Table[[#This Row],[Date]])+52*(Runhours_Table[[#This Row],[Year]]-YEAR(DATE(YEAR(TODAY()-WEEKDAY(TODAY()-1)+4),1,1)-MOD((DATE(YEAR(TODAY()-WEEKDAY(TODAY()-1)+4),1,1)-2),7)+(7*IF(MOD((DATE(YEAR(TODAY()-WEEKDAY(TODAY()-1)+4),1,1)-2),7)&gt;3,1,0))+7) )-_xlfn.ISOWEEKNUM(NOW())</f>
        <v>-40</v>
      </c>
      <c r="J90" s="345"/>
    </row>
    <row r="91" spans="1:10">
      <c r="A91" s="6" t="s">
        <v>7</v>
      </c>
      <c r="B91" s="6" t="str">
        <f>VLOOKUP(A91,Fleet[],2,FALSE)</f>
        <v>Intel</v>
      </c>
      <c r="C91" s="160">
        <v>45629</v>
      </c>
      <c r="D91" s="346">
        <f>YEAR(DATE(YEAR(Runhours_Table[[#This Row],[Date]]-WEEKDAY(Runhours_Table[[#This Row],[Date]]-1)+4),1,1)-MOD((DATE(YEAR(Runhours_Table[[#This Row],[Date]]-WEEKDAY(Runhours_Table[[#This Row],[Date]]-1)+4),1,1)-2),7)+(7*IF(MOD((DATE(YEAR(Runhours_Table[[#This Row],[Date]]-WEEKDAY(Runhours_Table[[#This Row],[Date]]-1)+4),1,1)-2),7)&gt;3,1,0))+7)</f>
        <v>2024</v>
      </c>
      <c r="E91" s="164">
        <f>_xlfn.ISOWEEKNUM(Runhours_Table[[#This Row],[Date]])</f>
        <v>49</v>
      </c>
      <c r="F91" s="160" t="str">
        <f>RIGHT(YEAR(Runhours_Table[[#This Row],[Date]]),2)&amp;TEXT(_xlfn.ISOWEEKNUM(Runhours_Table[[#This Row],[Date]]),"00")</f>
        <v>2449</v>
      </c>
      <c r="G91" s="38">
        <v>0</v>
      </c>
      <c r="H91" s="38">
        <v>0</v>
      </c>
      <c r="I91" s="38">
        <f ca="1">_xlfn.ISOWEEKNUM(Runhours_Table[[#This Row],[Date]])+52*(Runhours_Table[[#This Row],[Year]]-YEAR(DATE(YEAR(TODAY()-WEEKDAY(TODAY()-1)+4),1,1)-MOD((DATE(YEAR(TODAY()-WEEKDAY(TODAY()-1)+4),1,1)-2),7)+(7*IF(MOD((DATE(YEAR(TODAY()-WEEKDAY(TODAY()-1)+4),1,1)-2),7)&gt;3,1,0))+7) )-_xlfn.ISOWEEKNUM(NOW())</f>
        <v>-40</v>
      </c>
      <c r="J91" s="345"/>
    </row>
    <row r="92" spans="1:10">
      <c r="A92" s="6" t="s">
        <v>4</v>
      </c>
      <c r="B92" s="6" t="str">
        <f>VLOOKUP(A92,Fleet[],2,FALSE)</f>
        <v>Intel</v>
      </c>
      <c r="C92" s="160">
        <v>45630</v>
      </c>
      <c r="D92" s="346">
        <f>YEAR(DATE(YEAR(Runhours_Table[[#This Row],[Date]]-WEEKDAY(Runhours_Table[[#This Row],[Date]]-1)+4),1,1)-MOD((DATE(YEAR(Runhours_Table[[#This Row],[Date]]-WEEKDAY(Runhours_Table[[#This Row],[Date]]-1)+4),1,1)-2),7)+(7*IF(MOD((DATE(YEAR(Runhours_Table[[#This Row],[Date]]-WEEKDAY(Runhours_Table[[#This Row],[Date]]-1)+4),1,1)-2),7)&gt;3,1,0))+7)</f>
        <v>2024</v>
      </c>
      <c r="E92" s="164">
        <f>_xlfn.ISOWEEKNUM(Runhours_Table[[#This Row],[Date]])</f>
        <v>49</v>
      </c>
      <c r="F92" s="160" t="str">
        <f>RIGHT(YEAR(Runhours_Table[[#This Row],[Date]]),2)&amp;TEXT(_xlfn.ISOWEEKNUM(Runhours_Table[[#This Row],[Date]]),"00")</f>
        <v>2449</v>
      </c>
      <c r="G92" s="38">
        <v>4.9000000000000004</v>
      </c>
      <c r="H92" s="38">
        <v>22</v>
      </c>
      <c r="I92" s="38">
        <f ca="1">_xlfn.ISOWEEKNUM(Runhours_Table[[#This Row],[Date]])+52*(Runhours_Table[[#This Row],[Year]]-YEAR(DATE(YEAR(TODAY()-WEEKDAY(TODAY()-1)+4),1,1)-MOD((DATE(YEAR(TODAY()-WEEKDAY(TODAY()-1)+4),1,1)-2),7)+(7*IF(MOD((DATE(YEAR(TODAY()-WEEKDAY(TODAY()-1)+4),1,1)-2),7)&gt;3,1,0))+7) )-_xlfn.ISOWEEKNUM(NOW())</f>
        <v>-40</v>
      </c>
      <c r="J92" s="345"/>
    </row>
    <row r="93" spans="1:10">
      <c r="A93" s="6" t="s">
        <v>7</v>
      </c>
      <c r="B93" s="6" t="str">
        <f>VLOOKUP(A93,Fleet[],2,FALSE)</f>
        <v>Intel</v>
      </c>
      <c r="C93" s="160">
        <v>45630</v>
      </c>
      <c r="D93" s="346">
        <f>YEAR(DATE(YEAR(Runhours_Table[[#This Row],[Date]]-WEEKDAY(Runhours_Table[[#This Row],[Date]]-1)+4),1,1)-MOD((DATE(YEAR(Runhours_Table[[#This Row],[Date]]-WEEKDAY(Runhours_Table[[#This Row],[Date]]-1)+4),1,1)-2),7)+(7*IF(MOD((DATE(YEAR(Runhours_Table[[#This Row],[Date]]-WEEKDAY(Runhours_Table[[#This Row],[Date]]-1)+4),1,1)-2),7)&gt;3,1,0))+7)</f>
        <v>2024</v>
      </c>
      <c r="E93" s="164">
        <f>_xlfn.ISOWEEKNUM(Runhours_Table[[#This Row],[Date]])</f>
        <v>49</v>
      </c>
      <c r="F93" s="160" t="str">
        <f>RIGHT(YEAR(Runhours_Table[[#This Row],[Date]]),2)&amp;TEXT(_xlfn.ISOWEEKNUM(Runhours_Table[[#This Row],[Date]]),"00")</f>
        <v>2449</v>
      </c>
      <c r="G93" s="38">
        <v>0</v>
      </c>
      <c r="H93" s="38">
        <v>0</v>
      </c>
      <c r="I93" s="38">
        <f ca="1">_xlfn.ISOWEEKNUM(Runhours_Table[[#This Row],[Date]])+52*(Runhours_Table[[#This Row],[Year]]-YEAR(DATE(YEAR(TODAY()-WEEKDAY(TODAY()-1)+4),1,1)-MOD((DATE(YEAR(TODAY()-WEEKDAY(TODAY()-1)+4),1,1)-2),7)+(7*IF(MOD((DATE(YEAR(TODAY()-WEEKDAY(TODAY()-1)+4),1,1)-2),7)&gt;3,1,0))+7) )-_xlfn.ISOWEEKNUM(NOW())</f>
        <v>-40</v>
      </c>
      <c r="J93" s="345"/>
    </row>
    <row r="94" spans="1:10">
      <c r="A94" s="6" t="s">
        <v>4</v>
      </c>
      <c r="B94" s="6" t="str">
        <f>VLOOKUP(A94,Fleet[],2,FALSE)</f>
        <v>Intel</v>
      </c>
      <c r="C94" s="160">
        <v>45631</v>
      </c>
      <c r="D94" s="346">
        <f>YEAR(DATE(YEAR(Runhours_Table[[#This Row],[Date]]-WEEKDAY(Runhours_Table[[#This Row],[Date]]-1)+4),1,1)-MOD((DATE(YEAR(Runhours_Table[[#This Row],[Date]]-WEEKDAY(Runhours_Table[[#This Row],[Date]]-1)+4),1,1)-2),7)+(7*IF(MOD((DATE(YEAR(Runhours_Table[[#This Row],[Date]]-WEEKDAY(Runhours_Table[[#This Row],[Date]]-1)+4),1,1)-2),7)&gt;3,1,0))+7)</f>
        <v>2024</v>
      </c>
      <c r="E94" s="164">
        <f>_xlfn.ISOWEEKNUM(Runhours_Table[[#This Row],[Date]])</f>
        <v>49</v>
      </c>
      <c r="F94" s="160" t="str">
        <f>RIGHT(YEAR(Runhours_Table[[#This Row],[Date]]),2)&amp;TEXT(_xlfn.ISOWEEKNUM(Runhours_Table[[#This Row],[Date]]),"00")</f>
        <v>2449</v>
      </c>
      <c r="G94" s="38">
        <v>1.2</v>
      </c>
      <c r="H94" s="38">
        <v>13</v>
      </c>
      <c r="I94" s="38">
        <f ca="1">_xlfn.ISOWEEKNUM(Runhours_Table[[#This Row],[Date]])+52*(Runhours_Table[[#This Row],[Year]]-YEAR(DATE(YEAR(TODAY()-WEEKDAY(TODAY()-1)+4),1,1)-MOD((DATE(YEAR(TODAY()-WEEKDAY(TODAY()-1)+4),1,1)-2),7)+(7*IF(MOD((DATE(YEAR(TODAY()-WEEKDAY(TODAY()-1)+4),1,1)-2),7)&gt;3,1,0))+7) )-_xlfn.ISOWEEKNUM(NOW())</f>
        <v>-40</v>
      </c>
      <c r="J94" s="345"/>
    </row>
    <row r="95" spans="1:10">
      <c r="A95" s="6" t="s">
        <v>7</v>
      </c>
      <c r="B95" s="6" t="str">
        <f>VLOOKUP(A95,Fleet[],2,FALSE)</f>
        <v>Intel</v>
      </c>
      <c r="C95" s="160">
        <v>45631</v>
      </c>
      <c r="D95" s="346">
        <f>YEAR(DATE(YEAR(Runhours_Table[[#This Row],[Date]]-WEEKDAY(Runhours_Table[[#This Row],[Date]]-1)+4),1,1)-MOD((DATE(YEAR(Runhours_Table[[#This Row],[Date]]-WEEKDAY(Runhours_Table[[#This Row],[Date]]-1)+4),1,1)-2),7)+(7*IF(MOD((DATE(YEAR(Runhours_Table[[#This Row],[Date]]-WEEKDAY(Runhours_Table[[#This Row],[Date]]-1)+4),1,1)-2),7)&gt;3,1,0))+7)</f>
        <v>2024</v>
      </c>
      <c r="E95" s="164">
        <f>_xlfn.ISOWEEKNUM(Runhours_Table[[#This Row],[Date]])</f>
        <v>49</v>
      </c>
      <c r="F95" s="160" t="str">
        <f>RIGHT(YEAR(Runhours_Table[[#This Row],[Date]]),2)&amp;TEXT(_xlfn.ISOWEEKNUM(Runhours_Table[[#This Row],[Date]]),"00")</f>
        <v>2449</v>
      </c>
      <c r="G95" s="38">
        <v>0</v>
      </c>
      <c r="H95" s="38">
        <v>0</v>
      </c>
      <c r="I95" s="38">
        <f ca="1">_xlfn.ISOWEEKNUM(Runhours_Table[[#This Row],[Date]])+52*(Runhours_Table[[#This Row],[Year]]-YEAR(DATE(YEAR(TODAY()-WEEKDAY(TODAY()-1)+4),1,1)-MOD((DATE(YEAR(TODAY()-WEEKDAY(TODAY()-1)+4),1,1)-2),7)+(7*IF(MOD((DATE(YEAR(TODAY()-WEEKDAY(TODAY()-1)+4),1,1)-2),7)&gt;3,1,0))+7) )-_xlfn.ISOWEEKNUM(NOW())</f>
        <v>-40</v>
      </c>
      <c r="J95" s="345"/>
    </row>
    <row r="96" spans="1:10">
      <c r="A96" s="6" t="s">
        <v>4</v>
      </c>
      <c r="B96" s="6" t="str">
        <f>VLOOKUP(A96,Fleet[],2,FALSE)</f>
        <v>Intel</v>
      </c>
      <c r="C96" s="160">
        <v>45632</v>
      </c>
      <c r="D96" s="346">
        <f>YEAR(DATE(YEAR(Runhours_Table[[#This Row],[Date]]-WEEKDAY(Runhours_Table[[#This Row],[Date]]-1)+4),1,1)-MOD((DATE(YEAR(Runhours_Table[[#This Row],[Date]]-WEEKDAY(Runhours_Table[[#This Row],[Date]]-1)+4),1,1)-2),7)+(7*IF(MOD((DATE(YEAR(Runhours_Table[[#This Row],[Date]]-WEEKDAY(Runhours_Table[[#This Row],[Date]]-1)+4),1,1)-2),7)&gt;3,1,0))+7)</f>
        <v>2024</v>
      </c>
      <c r="E96" s="164">
        <f>_xlfn.ISOWEEKNUM(Runhours_Table[[#This Row],[Date]])</f>
        <v>49</v>
      </c>
      <c r="F96" s="160" t="str">
        <f>RIGHT(YEAR(Runhours_Table[[#This Row],[Date]]),2)&amp;TEXT(_xlfn.ISOWEEKNUM(Runhours_Table[[#This Row],[Date]]),"00")</f>
        <v>2449</v>
      </c>
      <c r="G96" s="38">
        <v>2</v>
      </c>
      <c r="H96" s="38">
        <v>13</v>
      </c>
      <c r="I96" s="38">
        <f ca="1">_xlfn.ISOWEEKNUM(Runhours_Table[[#This Row],[Date]])+52*(Runhours_Table[[#This Row],[Year]]-YEAR(DATE(YEAR(TODAY()-WEEKDAY(TODAY()-1)+4),1,1)-MOD((DATE(YEAR(TODAY()-WEEKDAY(TODAY()-1)+4),1,1)-2),7)+(7*IF(MOD((DATE(YEAR(TODAY()-WEEKDAY(TODAY()-1)+4),1,1)-2),7)&gt;3,1,0))+7) )-_xlfn.ISOWEEKNUM(NOW())</f>
        <v>-40</v>
      </c>
      <c r="J96" s="345"/>
    </row>
    <row r="97" spans="1:10">
      <c r="A97" s="6" t="s">
        <v>7</v>
      </c>
      <c r="B97" s="6" t="str">
        <f>VLOOKUP(A97,Fleet[],2,FALSE)</f>
        <v>Intel</v>
      </c>
      <c r="C97" s="160">
        <v>45632</v>
      </c>
      <c r="D97" s="346">
        <f>YEAR(DATE(YEAR(Runhours_Table[[#This Row],[Date]]-WEEKDAY(Runhours_Table[[#This Row],[Date]]-1)+4),1,1)-MOD((DATE(YEAR(Runhours_Table[[#This Row],[Date]]-WEEKDAY(Runhours_Table[[#This Row],[Date]]-1)+4),1,1)-2),7)+(7*IF(MOD((DATE(YEAR(Runhours_Table[[#This Row],[Date]]-WEEKDAY(Runhours_Table[[#This Row],[Date]]-1)+4),1,1)-2),7)&gt;3,1,0))+7)</f>
        <v>2024</v>
      </c>
      <c r="E97" s="164">
        <f>_xlfn.ISOWEEKNUM(Runhours_Table[[#This Row],[Date]])</f>
        <v>49</v>
      </c>
      <c r="F97" s="160" t="str">
        <f>RIGHT(YEAR(Runhours_Table[[#This Row],[Date]]),2)&amp;TEXT(_xlfn.ISOWEEKNUM(Runhours_Table[[#This Row],[Date]]),"00")</f>
        <v>2449</v>
      </c>
      <c r="G97" s="38">
        <v>0</v>
      </c>
      <c r="H97" s="38">
        <v>0</v>
      </c>
      <c r="I97" s="38">
        <f ca="1">_xlfn.ISOWEEKNUM(Runhours_Table[[#This Row],[Date]])+52*(Runhours_Table[[#This Row],[Year]]-YEAR(DATE(YEAR(TODAY()-WEEKDAY(TODAY()-1)+4),1,1)-MOD((DATE(YEAR(TODAY()-WEEKDAY(TODAY()-1)+4),1,1)-2),7)+(7*IF(MOD((DATE(YEAR(TODAY()-WEEKDAY(TODAY()-1)+4),1,1)-2),7)&gt;3,1,0))+7) )-_xlfn.ISOWEEKNUM(NOW())</f>
        <v>-40</v>
      </c>
      <c r="J97" s="345"/>
    </row>
    <row r="98" spans="1:10">
      <c r="A98" s="6" t="s">
        <v>4</v>
      </c>
      <c r="B98" s="6" t="str">
        <f>VLOOKUP(A98,Fleet[],2,FALSE)</f>
        <v>Intel</v>
      </c>
      <c r="C98" s="160">
        <v>45633</v>
      </c>
      <c r="D98" s="346">
        <f>YEAR(DATE(YEAR(Runhours_Table[[#This Row],[Date]]-WEEKDAY(Runhours_Table[[#This Row],[Date]]-1)+4),1,1)-MOD((DATE(YEAR(Runhours_Table[[#This Row],[Date]]-WEEKDAY(Runhours_Table[[#This Row],[Date]]-1)+4),1,1)-2),7)+(7*IF(MOD((DATE(YEAR(Runhours_Table[[#This Row],[Date]]-WEEKDAY(Runhours_Table[[#This Row],[Date]]-1)+4),1,1)-2),7)&gt;3,1,0))+7)</f>
        <v>2024</v>
      </c>
      <c r="E98" s="164">
        <f>_xlfn.ISOWEEKNUM(Runhours_Table[[#This Row],[Date]])</f>
        <v>49</v>
      </c>
      <c r="F98" s="160" t="str">
        <f>RIGHT(YEAR(Runhours_Table[[#This Row],[Date]]),2)&amp;TEXT(_xlfn.ISOWEEKNUM(Runhours_Table[[#This Row],[Date]]),"00")</f>
        <v>2449</v>
      </c>
      <c r="G98" s="38">
        <v>6.3</v>
      </c>
      <c r="H98" s="38">
        <v>14</v>
      </c>
      <c r="I98" s="38">
        <f ca="1">_xlfn.ISOWEEKNUM(Runhours_Table[[#This Row],[Date]])+52*(Runhours_Table[[#This Row],[Year]]-YEAR(DATE(YEAR(TODAY()-WEEKDAY(TODAY()-1)+4),1,1)-MOD((DATE(YEAR(TODAY()-WEEKDAY(TODAY()-1)+4),1,1)-2),7)+(7*IF(MOD((DATE(YEAR(TODAY()-WEEKDAY(TODAY()-1)+4),1,1)-2),7)&gt;3,1,0))+7) )-_xlfn.ISOWEEKNUM(NOW())</f>
        <v>-40</v>
      </c>
      <c r="J98" s="345"/>
    </row>
    <row r="99" spans="1:10">
      <c r="A99" s="6" t="s">
        <v>7</v>
      </c>
      <c r="B99" s="6" t="str">
        <f>VLOOKUP(A99,Fleet[],2,FALSE)</f>
        <v>Intel</v>
      </c>
      <c r="C99" s="160">
        <v>45633</v>
      </c>
      <c r="D99" s="346">
        <f>YEAR(DATE(YEAR(Runhours_Table[[#This Row],[Date]]-WEEKDAY(Runhours_Table[[#This Row],[Date]]-1)+4),1,1)-MOD((DATE(YEAR(Runhours_Table[[#This Row],[Date]]-WEEKDAY(Runhours_Table[[#This Row],[Date]]-1)+4),1,1)-2),7)+(7*IF(MOD((DATE(YEAR(Runhours_Table[[#This Row],[Date]]-WEEKDAY(Runhours_Table[[#This Row],[Date]]-1)+4),1,1)-2),7)&gt;3,1,0))+7)</f>
        <v>2024</v>
      </c>
      <c r="E99" s="164">
        <f>_xlfn.ISOWEEKNUM(Runhours_Table[[#This Row],[Date]])</f>
        <v>49</v>
      </c>
      <c r="F99" s="160" t="str">
        <f>RIGHT(YEAR(Runhours_Table[[#This Row],[Date]]),2)&amp;TEXT(_xlfn.ISOWEEKNUM(Runhours_Table[[#This Row],[Date]]),"00")</f>
        <v>2449</v>
      </c>
      <c r="G99" s="38">
        <v>0</v>
      </c>
      <c r="H99" s="38">
        <v>0</v>
      </c>
      <c r="I99" s="38">
        <f ca="1">_xlfn.ISOWEEKNUM(Runhours_Table[[#This Row],[Date]])+52*(Runhours_Table[[#This Row],[Year]]-YEAR(DATE(YEAR(TODAY()-WEEKDAY(TODAY()-1)+4),1,1)-MOD((DATE(YEAR(TODAY()-WEEKDAY(TODAY()-1)+4),1,1)-2),7)+(7*IF(MOD((DATE(YEAR(TODAY()-WEEKDAY(TODAY()-1)+4),1,1)-2),7)&gt;3,1,0))+7) )-_xlfn.ISOWEEKNUM(NOW())</f>
        <v>-40</v>
      </c>
      <c r="J99" s="345"/>
    </row>
    <row r="100" spans="1:10">
      <c r="A100" s="6" t="s">
        <v>4</v>
      </c>
      <c r="B100" s="6" t="str">
        <f>VLOOKUP(A100,Fleet[],2,FALSE)</f>
        <v>Intel</v>
      </c>
      <c r="C100" s="160">
        <v>45634</v>
      </c>
      <c r="D100" s="346">
        <f>YEAR(DATE(YEAR(Runhours_Table[[#This Row],[Date]]-WEEKDAY(Runhours_Table[[#This Row],[Date]]-1)+4),1,1)-MOD((DATE(YEAR(Runhours_Table[[#This Row],[Date]]-WEEKDAY(Runhours_Table[[#This Row],[Date]]-1)+4),1,1)-2),7)+(7*IF(MOD((DATE(YEAR(Runhours_Table[[#This Row],[Date]]-WEEKDAY(Runhours_Table[[#This Row],[Date]]-1)+4),1,1)-2),7)&gt;3,1,0))+7)</f>
        <v>2024</v>
      </c>
      <c r="E100" s="164">
        <f>_xlfn.ISOWEEKNUM(Runhours_Table[[#This Row],[Date]])</f>
        <v>49</v>
      </c>
      <c r="F100" s="160" t="str">
        <f>RIGHT(YEAR(Runhours_Table[[#This Row],[Date]]),2)&amp;TEXT(_xlfn.ISOWEEKNUM(Runhours_Table[[#This Row],[Date]]),"00")</f>
        <v>2449</v>
      </c>
      <c r="G100" s="38">
        <v>7.4</v>
      </c>
      <c r="H100" s="38">
        <v>9</v>
      </c>
      <c r="I100" s="38">
        <f ca="1">_xlfn.ISOWEEKNUM(Runhours_Table[[#This Row],[Date]])+52*(Runhours_Table[[#This Row],[Year]]-YEAR(DATE(YEAR(TODAY()-WEEKDAY(TODAY()-1)+4),1,1)-MOD((DATE(YEAR(TODAY()-WEEKDAY(TODAY()-1)+4),1,1)-2),7)+(7*IF(MOD((DATE(YEAR(TODAY()-WEEKDAY(TODAY()-1)+4),1,1)-2),7)&gt;3,1,0))+7) )-_xlfn.ISOWEEKNUM(NOW())</f>
        <v>-40</v>
      </c>
      <c r="J100" s="345"/>
    </row>
    <row r="101" spans="1:10">
      <c r="A101" s="6" t="s">
        <v>7</v>
      </c>
      <c r="B101" s="6" t="str">
        <f>VLOOKUP(A101,Fleet[],2,FALSE)</f>
        <v>Intel</v>
      </c>
      <c r="C101" s="160">
        <v>45634</v>
      </c>
      <c r="D101" s="346">
        <f>YEAR(DATE(YEAR(Runhours_Table[[#This Row],[Date]]-WEEKDAY(Runhours_Table[[#This Row],[Date]]-1)+4),1,1)-MOD((DATE(YEAR(Runhours_Table[[#This Row],[Date]]-WEEKDAY(Runhours_Table[[#This Row],[Date]]-1)+4),1,1)-2),7)+(7*IF(MOD((DATE(YEAR(Runhours_Table[[#This Row],[Date]]-WEEKDAY(Runhours_Table[[#This Row],[Date]]-1)+4),1,1)-2),7)&gt;3,1,0))+7)</f>
        <v>2024</v>
      </c>
      <c r="E101" s="164">
        <f>_xlfn.ISOWEEKNUM(Runhours_Table[[#This Row],[Date]])</f>
        <v>49</v>
      </c>
      <c r="F101" s="160" t="str">
        <f>RIGHT(YEAR(Runhours_Table[[#This Row],[Date]]),2)&amp;TEXT(_xlfn.ISOWEEKNUM(Runhours_Table[[#This Row],[Date]]),"00")</f>
        <v>2449</v>
      </c>
      <c r="G101" s="38">
        <v>0</v>
      </c>
      <c r="H101" s="38">
        <v>0</v>
      </c>
      <c r="I101" s="38">
        <f ca="1">_xlfn.ISOWEEKNUM(Runhours_Table[[#This Row],[Date]])+52*(Runhours_Table[[#This Row],[Year]]-YEAR(DATE(YEAR(TODAY()-WEEKDAY(TODAY()-1)+4),1,1)-MOD((DATE(YEAR(TODAY()-WEEKDAY(TODAY()-1)+4),1,1)-2),7)+(7*IF(MOD((DATE(YEAR(TODAY()-WEEKDAY(TODAY()-1)+4),1,1)-2),7)&gt;3,1,0))+7) )-_xlfn.ISOWEEKNUM(NOW())</f>
        <v>-40</v>
      </c>
      <c r="J101" s="345"/>
    </row>
    <row r="102" spans="1:10">
      <c r="A102" s="6" t="s">
        <v>4</v>
      </c>
      <c r="B102" s="6" t="str">
        <f>VLOOKUP(A102,Fleet[],2,FALSE)</f>
        <v>Intel</v>
      </c>
      <c r="C102" s="160">
        <v>45635</v>
      </c>
      <c r="D102" s="346">
        <f>YEAR(DATE(YEAR(Runhours_Table[[#This Row],[Date]]-WEEKDAY(Runhours_Table[[#This Row],[Date]]-1)+4),1,1)-MOD((DATE(YEAR(Runhours_Table[[#This Row],[Date]]-WEEKDAY(Runhours_Table[[#This Row],[Date]]-1)+4),1,1)-2),7)+(7*IF(MOD((DATE(YEAR(Runhours_Table[[#This Row],[Date]]-WEEKDAY(Runhours_Table[[#This Row],[Date]]-1)+4),1,1)-2),7)&gt;3,1,0))+7)</f>
        <v>2024</v>
      </c>
      <c r="E102" s="164">
        <f>_xlfn.ISOWEEKNUM(Runhours_Table[[#This Row],[Date]])</f>
        <v>50</v>
      </c>
      <c r="F102" s="160" t="str">
        <f>RIGHT(YEAR(Runhours_Table[[#This Row],[Date]]),2)&amp;TEXT(_xlfn.ISOWEEKNUM(Runhours_Table[[#This Row],[Date]]),"00")</f>
        <v>2450</v>
      </c>
      <c r="G102" s="38">
        <v>3.5</v>
      </c>
      <c r="H102" s="38">
        <v>12</v>
      </c>
      <c r="I102" s="38">
        <f ca="1">_xlfn.ISOWEEKNUM(Runhours_Table[[#This Row],[Date]])+52*(Runhours_Table[[#This Row],[Year]]-YEAR(DATE(YEAR(TODAY()-WEEKDAY(TODAY()-1)+4),1,1)-MOD((DATE(YEAR(TODAY()-WEEKDAY(TODAY()-1)+4),1,1)-2),7)+(7*IF(MOD((DATE(YEAR(TODAY()-WEEKDAY(TODAY()-1)+4),1,1)-2),7)&gt;3,1,0))+7) )-_xlfn.ISOWEEKNUM(NOW())</f>
        <v>-39</v>
      </c>
      <c r="J102" s="345"/>
    </row>
    <row r="103" spans="1:10">
      <c r="A103" s="6" t="s">
        <v>7</v>
      </c>
      <c r="B103" s="6" t="str">
        <f>VLOOKUP(A103,Fleet[],2,FALSE)</f>
        <v>Intel</v>
      </c>
      <c r="C103" s="160">
        <v>45635</v>
      </c>
      <c r="D103" s="346">
        <f>YEAR(DATE(YEAR(Runhours_Table[[#This Row],[Date]]-WEEKDAY(Runhours_Table[[#This Row],[Date]]-1)+4),1,1)-MOD((DATE(YEAR(Runhours_Table[[#This Row],[Date]]-WEEKDAY(Runhours_Table[[#This Row],[Date]]-1)+4),1,1)-2),7)+(7*IF(MOD((DATE(YEAR(Runhours_Table[[#This Row],[Date]]-WEEKDAY(Runhours_Table[[#This Row],[Date]]-1)+4),1,1)-2),7)&gt;3,1,0))+7)</f>
        <v>2024</v>
      </c>
      <c r="E103" s="164">
        <f>_xlfn.ISOWEEKNUM(Runhours_Table[[#This Row],[Date]])</f>
        <v>50</v>
      </c>
      <c r="F103" s="160" t="str">
        <f>RIGHT(YEAR(Runhours_Table[[#This Row],[Date]]),2)&amp;TEXT(_xlfn.ISOWEEKNUM(Runhours_Table[[#This Row],[Date]]),"00")</f>
        <v>2450</v>
      </c>
      <c r="G103" s="38">
        <v>0</v>
      </c>
      <c r="H103" s="38">
        <v>0</v>
      </c>
      <c r="I103" s="38">
        <f ca="1">_xlfn.ISOWEEKNUM(Runhours_Table[[#This Row],[Date]])+52*(Runhours_Table[[#This Row],[Year]]-YEAR(DATE(YEAR(TODAY()-WEEKDAY(TODAY()-1)+4),1,1)-MOD((DATE(YEAR(TODAY()-WEEKDAY(TODAY()-1)+4),1,1)-2),7)+(7*IF(MOD((DATE(YEAR(TODAY()-WEEKDAY(TODAY()-1)+4),1,1)-2),7)&gt;3,1,0))+7) )-_xlfn.ISOWEEKNUM(NOW())</f>
        <v>-39</v>
      </c>
      <c r="J103" s="345"/>
    </row>
    <row r="104" spans="1:10">
      <c r="A104" s="6" t="s">
        <v>4</v>
      </c>
      <c r="B104" s="6" t="str">
        <f>VLOOKUP(A104,Fleet[],2,FALSE)</f>
        <v>Intel</v>
      </c>
      <c r="C104" s="160">
        <v>45636</v>
      </c>
      <c r="D104" s="346">
        <f>YEAR(DATE(YEAR(Runhours_Table[[#This Row],[Date]]-WEEKDAY(Runhours_Table[[#This Row],[Date]]-1)+4),1,1)-MOD((DATE(YEAR(Runhours_Table[[#This Row],[Date]]-WEEKDAY(Runhours_Table[[#This Row],[Date]]-1)+4),1,1)-2),7)+(7*IF(MOD((DATE(YEAR(Runhours_Table[[#This Row],[Date]]-WEEKDAY(Runhours_Table[[#This Row],[Date]]-1)+4),1,1)-2),7)&gt;3,1,0))+7)</f>
        <v>2024</v>
      </c>
      <c r="E104" s="164">
        <f>_xlfn.ISOWEEKNUM(Runhours_Table[[#This Row],[Date]])</f>
        <v>50</v>
      </c>
      <c r="F104" s="160" t="str">
        <f>RIGHT(YEAR(Runhours_Table[[#This Row],[Date]]),2)&amp;TEXT(_xlfn.ISOWEEKNUM(Runhours_Table[[#This Row],[Date]]),"00")</f>
        <v>2450</v>
      </c>
      <c r="G104" s="38">
        <v>9.4</v>
      </c>
      <c r="H104" s="38">
        <v>19</v>
      </c>
      <c r="I104" s="38">
        <f ca="1">_xlfn.ISOWEEKNUM(Runhours_Table[[#This Row],[Date]])+52*(Runhours_Table[[#This Row],[Year]]-YEAR(DATE(YEAR(TODAY()-WEEKDAY(TODAY()-1)+4),1,1)-MOD((DATE(YEAR(TODAY()-WEEKDAY(TODAY()-1)+4),1,1)-2),7)+(7*IF(MOD((DATE(YEAR(TODAY()-WEEKDAY(TODAY()-1)+4),1,1)-2),7)&gt;3,1,0))+7) )-_xlfn.ISOWEEKNUM(NOW())</f>
        <v>-39</v>
      </c>
      <c r="J104" s="345"/>
    </row>
    <row r="105" spans="1:10">
      <c r="A105" s="6" t="s">
        <v>7</v>
      </c>
      <c r="B105" s="6" t="str">
        <f>VLOOKUP(A105,Fleet[],2,FALSE)</f>
        <v>Intel</v>
      </c>
      <c r="C105" s="160">
        <v>45636</v>
      </c>
      <c r="D105" s="346">
        <f>YEAR(DATE(YEAR(Runhours_Table[[#This Row],[Date]]-WEEKDAY(Runhours_Table[[#This Row],[Date]]-1)+4),1,1)-MOD((DATE(YEAR(Runhours_Table[[#This Row],[Date]]-WEEKDAY(Runhours_Table[[#This Row],[Date]]-1)+4),1,1)-2),7)+(7*IF(MOD((DATE(YEAR(Runhours_Table[[#This Row],[Date]]-WEEKDAY(Runhours_Table[[#This Row],[Date]]-1)+4),1,1)-2),7)&gt;3,1,0))+7)</f>
        <v>2024</v>
      </c>
      <c r="E105" s="164">
        <f>_xlfn.ISOWEEKNUM(Runhours_Table[[#This Row],[Date]])</f>
        <v>50</v>
      </c>
      <c r="F105" s="160" t="str">
        <f>RIGHT(YEAR(Runhours_Table[[#This Row],[Date]]),2)&amp;TEXT(_xlfn.ISOWEEKNUM(Runhours_Table[[#This Row],[Date]]),"00")</f>
        <v>2450</v>
      </c>
      <c r="G105" s="38">
        <v>0</v>
      </c>
      <c r="H105" s="38">
        <v>0</v>
      </c>
      <c r="I105" s="38">
        <f ca="1">_xlfn.ISOWEEKNUM(Runhours_Table[[#This Row],[Date]])+52*(Runhours_Table[[#This Row],[Year]]-YEAR(DATE(YEAR(TODAY()-WEEKDAY(TODAY()-1)+4),1,1)-MOD((DATE(YEAR(TODAY()-WEEKDAY(TODAY()-1)+4),1,1)-2),7)+(7*IF(MOD((DATE(YEAR(TODAY()-WEEKDAY(TODAY()-1)+4),1,1)-2),7)&gt;3,1,0))+7) )-_xlfn.ISOWEEKNUM(NOW())</f>
        <v>-39</v>
      </c>
      <c r="J105" s="345"/>
    </row>
    <row r="106" spans="1:10">
      <c r="A106" s="6" t="s">
        <v>4</v>
      </c>
      <c r="B106" s="6" t="str">
        <f>VLOOKUP(A106,Fleet[],2,FALSE)</f>
        <v>Intel</v>
      </c>
      <c r="C106" s="160">
        <v>45637</v>
      </c>
      <c r="D106" s="346">
        <f>YEAR(DATE(YEAR(Runhours_Table[[#This Row],[Date]]-WEEKDAY(Runhours_Table[[#This Row],[Date]]-1)+4),1,1)-MOD((DATE(YEAR(Runhours_Table[[#This Row],[Date]]-WEEKDAY(Runhours_Table[[#This Row],[Date]]-1)+4),1,1)-2),7)+(7*IF(MOD((DATE(YEAR(Runhours_Table[[#This Row],[Date]]-WEEKDAY(Runhours_Table[[#This Row],[Date]]-1)+4),1,1)-2),7)&gt;3,1,0))+7)</f>
        <v>2024</v>
      </c>
      <c r="E106" s="164">
        <f>_xlfn.ISOWEEKNUM(Runhours_Table[[#This Row],[Date]])</f>
        <v>50</v>
      </c>
      <c r="F106" s="160" t="str">
        <f>RIGHT(YEAR(Runhours_Table[[#This Row],[Date]]),2)&amp;TEXT(_xlfn.ISOWEEKNUM(Runhours_Table[[#This Row],[Date]]),"00")</f>
        <v>2450</v>
      </c>
      <c r="G106" s="38">
        <v>3.3</v>
      </c>
      <c r="H106" s="38">
        <v>18</v>
      </c>
      <c r="I106" s="38">
        <f ca="1">_xlfn.ISOWEEKNUM(Runhours_Table[[#This Row],[Date]])+52*(Runhours_Table[[#This Row],[Year]]-YEAR(DATE(YEAR(TODAY()-WEEKDAY(TODAY()-1)+4),1,1)-MOD((DATE(YEAR(TODAY()-WEEKDAY(TODAY()-1)+4),1,1)-2),7)+(7*IF(MOD((DATE(YEAR(TODAY()-WEEKDAY(TODAY()-1)+4),1,1)-2),7)&gt;3,1,0))+7) )-_xlfn.ISOWEEKNUM(NOW())</f>
        <v>-39</v>
      </c>
      <c r="J106" s="345"/>
    </row>
    <row r="107" spans="1:10">
      <c r="A107" s="6" t="s">
        <v>7</v>
      </c>
      <c r="B107" s="6" t="str">
        <f>VLOOKUP(A107,Fleet[],2,FALSE)</f>
        <v>Intel</v>
      </c>
      <c r="C107" s="160">
        <v>45637</v>
      </c>
      <c r="D107" s="346">
        <f>YEAR(DATE(YEAR(Runhours_Table[[#This Row],[Date]]-WEEKDAY(Runhours_Table[[#This Row],[Date]]-1)+4),1,1)-MOD((DATE(YEAR(Runhours_Table[[#This Row],[Date]]-WEEKDAY(Runhours_Table[[#This Row],[Date]]-1)+4),1,1)-2),7)+(7*IF(MOD((DATE(YEAR(Runhours_Table[[#This Row],[Date]]-WEEKDAY(Runhours_Table[[#This Row],[Date]]-1)+4),1,1)-2),7)&gt;3,1,0))+7)</f>
        <v>2024</v>
      </c>
      <c r="E107" s="164">
        <f>_xlfn.ISOWEEKNUM(Runhours_Table[[#This Row],[Date]])</f>
        <v>50</v>
      </c>
      <c r="F107" s="160" t="str">
        <f>RIGHT(YEAR(Runhours_Table[[#This Row],[Date]]),2)&amp;TEXT(_xlfn.ISOWEEKNUM(Runhours_Table[[#This Row],[Date]]),"00")</f>
        <v>2450</v>
      </c>
      <c r="G107" s="38">
        <v>0</v>
      </c>
      <c r="H107" s="38">
        <v>0</v>
      </c>
      <c r="I107" s="38">
        <f ca="1">_xlfn.ISOWEEKNUM(Runhours_Table[[#This Row],[Date]])+52*(Runhours_Table[[#This Row],[Year]]-YEAR(DATE(YEAR(TODAY()-WEEKDAY(TODAY()-1)+4),1,1)-MOD((DATE(YEAR(TODAY()-WEEKDAY(TODAY()-1)+4),1,1)-2),7)+(7*IF(MOD((DATE(YEAR(TODAY()-WEEKDAY(TODAY()-1)+4),1,1)-2),7)&gt;3,1,0))+7) )-_xlfn.ISOWEEKNUM(NOW())</f>
        <v>-39</v>
      </c>
      <c r="J107" s="345"/>
    </row>
    <row r="108" spans="1:10">
      <c r="A108" s="6" t="s">
        <v>4</v>
      </c>
      <c r="B108" s="6" t="str">
        <f>VLOOKUP(A108,Fleet[],2,FALSE)</f>
        <v>Intel</v>
      </c>
      <c r="C108" s="160">
        <v>45638</v>
      </c>
      <c r="D108" s="346">
        <f>YEAR(DATE(YEAR(Runhours_Table[[#This Row],[Date]]-WEEKDAY(Runhours_Table[[#This Row],[Date]]-1)+4),1,1)-MOD((DATE(YEAR(Runhours_Table[[#This Row],[Date]]-WEEKDAY(Runhours_Table[[#This Row],[Date]]-1)+4),1,1)-2),7)+(7*IF(MOD((DATE(YEAR(Runhours_Table[[#This Row],[Date]]-WEEKDAY(Runhours_Table[[#This Row],[Date]]-1)+4),1,1)-2),7)&gt;3,1,0))+7)</f>
        <v>2024</v>
      </c>
      <c r="E108" s="164">
        <f>_xlfn.ISOWEEKNUM(Runhours_Table[[#This Row],[Date]])</f>
        <v>50</v>
      </c>
      <c r="F108" s="160" t="str">
        <f>RIGHT(YEAR(Runhours_Table[[#This Row],[Date]]),2)&amp;TEXT(_xlfn.ISOWEEKNUM(Runhours_Table[[#This Row],[Date]]),"00")</f>
        <v>2450</v>
      </c>
      <c r="G108" s="38">
        <v>3.5</v>
      </c>
      <c r="H108" s="38">
        <v>18</v>
      </c>
      <c r="I108" s="38">
        <f ca="1">_xlfn.ISOWEEKNUM(Runhours_Table[[#This Row],[Date]])+52*(Runhours_Table[[#This Row],[Year]]-YEAR(DATE(YEAR(TODAY()-WEEKDAY(TODAY()-1)+4),1,1)-MOD((DATE(YEAR(TODAY()-WEEKDAY(TODAY()-1)+4),1,1)-2),7)+(7*IF(MOD((DATE(YEAR(TODAY()-WEEKDAY(TODAY()-1)+4),1,1)-2),7)&gt;3,1,0))+7) )-_xlfn.ISOWEEKNUM(NOW())</f>
        <v>-39</v>
      </c>
      <c r="J108" s="345"/>
    </row>
    <row r="109" spans="1:10">
      <c r="A109" s="6" t="s">
        <v>7</v>
      </c>
      <c r="B109" s="6" t="str">
        <f>VLOOKUP(A109,Fleet[],2,FALSE)</f>
        <v>Intel</v>
      </c>
      <c r="C109" s="160">
        <v>45638</v>
      </c>
      <c r="D109" s="346">
        <f>YEAR(DATE(YEAR(Runhours_Table[[#This Row],[Date]]-WEEKDAY(Runhours_Table[[#This Row],[Date]]-1)+4),1,1)-MOD((DATE(YEAR(Runhours_Table[[#This Row],[Date]]-WEEKDAY(Runhours_Table[[#This Row],[Date]]-1)+4),1,1)-2),7)+(7*IF(MOD((DATE(YEAR(Runhours_Table[[#This Row],[Date]]-WEEKDAY(Runhours_Table[[#This Row],[Date]]-1)+4),1,1)-2),7)&gt;3,1,0))+7)</f>
        <v>2024</v>
      </c>
      <c r="E109" s="164">
        <f>_xlfn.ISOWEEKNUM(Runhours_Table[[#This Row],[Date]])</f>
        <v>50</v>
      </c>
      <c r="F109" s="160" t="str">
        <f>RIGHT(YEAR(Runhours_Table[[#This Row],[Date]]),2)&amp;TEXT(_xlfn.ISOWEEKNUM(Runhours_Table[[#This Row],[Date]]),"00")</f>
        <v>2450</v>
      </c>
      <c r="G109" s="38">
        <v>0</v>
      </c>
      <c r="H109" s="38">
        <v>0</v>
      </c>
      <c r="I109" s="38">
        <f ca="1">_xlfn.ISOWEEKNUM(Runhours_Table[[#This Row],[Date]])+52*(Runhours_Table[[#This Row],[Year]]-YEAR(DATE(YEAR(TODAY()-WEEKDAY(TODAY()-1)+4),1,1)-MOD((DATE(YEAR(TODAY()-WEEKDAY(TODAY()-1)+4),1,1)-2),7)+(7*IF(MOD((DATE(YEAR(TODAY()-WEEKDAY(TODAY()-1)+4),1,1)-2),7)&gt;3,1,0))+7) )-_xlfn.ISOWEEKNUM(NOW())</f>
        <v>-39</v>
      </c>
      <c r="J109" s="345"/>
    </row>
    <row r="110" spans="1:10">
      <c r="A110" s="6" t="s">
        <v>4</v>
      </c>
      <c r="B110" s="6" t="str">
        <f>VLOOKUP(A110,Fleet[],2,FALSE)</f>
        <v>Intel</v>
      </c>
      <c r="C110" s="160">
        <v>45639</v>
      </c>
      <c r="D110" s="346">
        <f>YEAR(DATE(YEAR(Runhours_Table[[#This Row],[Date]]-WEEKDAY(Runhours_Table[[#This Row],[Date]]-1)+4),1,1)-MOD((DATE(YEAR(Runhours_Table[[#This Row],[Date]]-WEEKDAY(Runhours_Table[[#This Row],[Date]]-1)+4),1,1)-2),7)+(7*IF(MOD((DATE(YEAR(Runhours_Table[[#This Row],[Date]]-WEEKDAY(Runhours_Table[[#This Row],[Date]]-1)+4),1,1)-2),7)&gt;3,1,0))+7)</f>
        <v>2024</v>
      </c>
      <c r="E110" s="164">
        <f>_xlfn.ISOWEEKNUM(Runhours_Table[[#This Row],[Date]])</f>
        <v>50</v>
      </c>
      <c r="F110" s="160" t="str">
        <f>RIGHT(YEAR(Runhours_Table[[#This Row],[Date]]),2)&amp;TEXT(_xlfn.ISOWEEKNUM(Runhours_Table[[#This Row],[Date]]),"00")</f>
        <v>2450</v>
      </c>
      <c r="G110" s="38">
        <v>6.5</v>
      </c>
      <c r="H110" s="38">
        <v>20</v>
      </c>
      <c r="I110" s="38">
        <f ca="1">_xlfn.ISOWEEKNUM(Runhours_Table[[#This Row],[Date]])+52*(Runhours_Table[[#This Row],[Year]]-YEAR(DATE(YEAR(TODAY()-WEEKDAY(TODAY()-1)+4),1,1)-MOD((DATE(YEAR(TODAY()-WEEKDAY(TODAY()-1)+4),1,1)-2),7)+(7*IF(MOD((DATE(YEAR(TODAY()-WEEKDAY(TODAY()-1)+4),1,1)-2),7)&gt;3,1,0))+7) )-_xlfn.ISOWEEKNUM(NOW())</f>
        <v>-39</v>
      </c>
      <c r="J110" s="345"/>
    </row>
    <row r="111" spans="1:10">
      <c r="A111" s="6" t="s">
        <v>7</v>
      </c>
      <c r="B111" s="6" t="str">
        <f>VLOOKUP(A111,Fleet[],2,FALSE)</f>
        <v>Intel</v>
      </c>
      <c r="C111" s="160">
        <v>45639</v>
      </c>
      <c r="D111" s="346">
        <f>YEAR(DATE(YEAR(Runhours_Table[[#This Row],[Date]]-WEEKDAY(Runhours_Table[[#This Row],[Date]]-1)+4),1,1)-MOD((DATE(YEAR(Runhours_Table[[#This Row],[Date]]-WEEKDAY(Runhours_Table[[#This Row],[Date]]-1)+4),1,1)-2),7)+(7*IF(MOD((DATE(YEAR(Runhours_Table[[#This Row],[Date]]-WEEKDAY(Runhours_Table[[#This Row],[Date]]-1)+4),1,1)-2),7)&gt;3,1,0))+7)</f>
        <v>2024</v>
      </c>
      <c r="E111" s="164">
        <f>_xlfn.ISOWEEKNUM(Runhours_Table[[#This Row],[Date]])</f>
        <v>50</v>
      </c>
      <c r="F111" s="160" t="str">
        <f>RIGHT(YEAR(Runhours_Table[[#This Row],[Date]]),2)&amp;TEXT(_xlfn.ISOWEEKNUM(Runhours_Table[[#This Row],[Date]]),"00")</f>
        <v>2450</v>
      </c>
      <c r="G111" s="38">
        <v>0</v>
      </c>
      <c r="H111" s="38">
        <v>0</v>
      </c>
      <c r="I111" s="38">
        <f ca="1">_xlfn.ISOWEEKNUM(Runhours_Table[[#This Row],[Date]])+52*(Runhours_Table[[#This Row],[Year]]-YEAR(DATE(YEAR(TODAY()-WEEKDAY(TODAY()-1)+4),1,1)-MOD((DATE(YEAR(TODAY()-WEEKDAY(TODAY()-1)+4),1,1)-2),7)+(7*IF(MOD((DATE(YEAR(TODAY()-WEEKDAY(TODAY()-1)+4),1,1)-2),7)&gt;3,1,0))+7) )-_xlfn.ISOWEEKNUM(NOW())</f>
        <v>-39</v>
      </c>
      <c r="J111" s="345"/>
    </row>
    <row r="112" spans="1:10">
      <c r="A112" s="6" t="s">
        <v>4</v>
      </c>
      <c r="B112" s="6" t="str">
        <f>VLOOKUP(A112,Fleet[],2,FALSE)</f>
        <v>Intel</v>
      </c>
      <c r="C112" s="160">
        <v>45640</v>
      </c>
      <c r="D112" s="346">
        <f>YEAR(DATE(YEAR(Runhours_Table[[#This Row],[Date]]-WEEKDAY(Runhours_Table[[#This Row],[Date]]-1)+4),1,1)-MOD((DATE(YEAR(Runhours_Table[[#This Row],[Date]]-WEEKDAY(Runhours_Table[[#This Row],[Date]]-1)+4),1,1)-2),7)+(7*IF(MOD((DATE(YEAR(Runhours_Table[[#This Row],[Date]]-WEEKDAY(Runhours_Table[[#This Row],[Date]]-1)+4),1,1)-2),7)&gt;3,1,0))+7)</f>
        <v>2024</v>
      </c>
      <c r="E112" s="164">
        <f>_xlfn.ISOWEEKNUM(Runhours_Table[[#This Row],[Date]])</f>
        <v>50</v>
      </c>
      <c r="F112" s="160" t="str">
        <f>RIGHT(YEAR(Runhours_Table[[#This Row],[Date]]),2)&amp;TEXT(_xlfn.ISOWEEKNUM(Runhours_Table[[#This Row],[Date]]),"00")</f>
        <v>2450</v>
      </c>
      <c r="G112" s="38">
        <v>9.1</v>
      </c>
      <c r="H112" s="38">
        <v>15</v>
      </c>
      <c r="I112" s="38">
        <f ca="1">_xlfn.ISOWEEKNUM(Runhours_Table[[#This Row],[Date]])+52*(Runhours_Table[[#This Row],[Year]]-YEAR(DATE(YEAR(TODAY()-WEEKDAY(TODAY()-1)+4),1,1)-MOD((DATE(YEAR(TODAY()-WEEKDAY(TODAY()-1)+4),1,1)-2),7)+(7*IF(MOD((DATE(YEAR(TODAY()-WEEKDAY(TODAY()-1)+4),1,1)-2),7)&gt;3,1,0))+7) )-_xlfn.ISOWEEKNUM(NOW())</f>
        <v>-39</v>
      </c>
      <c r="J112" s="345"/>
    </row>
    <row r="113" spans="1:10">
      <c r="A113" s="6" t="s">
        <v>7</v>
      </c>
      <c r="B113" s="6" t="str">
        <f>VLOOKUP(A113,Fleet[],2,FALSE)</f>
        <v>Intel</v>
      </c>
      <c r="C113" s="160">
        <v>45640</v>
      </c>
      <c r="D113" s="346">
        <f>YEAR(DATE(YEAR(Runhours_Table[[#This Row],[Date]]-WEEKDAY(Runhours_Table[[#This Row],[Date]]-1)+4),1,1)-MOD((DATE(YEAR(Runhours_Table[[#This Row],[Date]]-WEEKDAY(Runhours_Table[[#This Row],[Date]]-1)+4),1,1)-2),7)+(7*IF(MOD((DATE(YEAR(Runhours_Table[[#This Row],[Date]]-WEEKDAY(Runhours_Table[[#This Row],[Date]]-1)+4),1,1)-2),7)&gt;3,1,0))+7)</f>
        <v>2024</v>
      </c>
      <c r="E113" s="164">
        <f>_xlfn.ISOWEEKNUM(Runhours_Table[[#This Row],[Date]])</f>
        <v>50</v>
      </c>
      <c r="F113" s="160" t="str">
        <f>RIGHT(YEAR(Runhours_Table[[#This Row],[Date]]),2)&amp;TEXT(_xlfn.ISOWEEKNUM(Runhours_Table[[#This Row],[Date]]),"00")</f>
        <v>2450</v>
      </c>
      <c r="G113" s="38">
        <v>0</v>
      </c>
      <c r="H113" s="38">
        <v>0</v>
      </c>
      <c r="I113" s="38">
        <f ca="1">_xlfn.ISOWEEKNUM(Runhours_Table[[#This Row],[Date]])+52*(Runhours_Table[[#This Row],[Year]]-YEAR(DATE(YEAR(TODAY()-WEEKDAY(TODAY()-1)+4),1,1)-MOD((DATE(YEAR(TODAY()-WEEKDAY(TODAY()-1)+4),1,1)-2),7)+(7*IF(MOD((DATE(YEAR(TODAY()-WEEKDAY(TODAY()-1)+4),1,1)-2),7)&gt;3,1,0))+7) )-_xlfn.ISOWEEKNUM(NOW())</f>
        <v>-39</v>
      </c>
      <c r="J113" s="345"/>
    </row>
    <row r="114" spans="1:10">
      <c r="A114" s="6" t="s">
        <v>4</v>
      </c>
      <c r="B114" s="6" t="str">
        <f>VLOOKUP(A114,Fleet[],2,FALSE)</f>
        <v>Intel</v>
      </c>
      <c r="C114" s="160">
        <v>45641</v>
      </c>
      <c r="D114" s="346">
        <f>YEAR(DATE(YEAR(Runhours_Table[[#This Row],[Date]]-WEEKDAY(Runhours_Table[[#This Row],[Date]]-1)+4),1,1)-MOD((DATE(YEAR(Runhours_Table[[#This Row],[Date]]-WEEKDAY(Runhours_Table[[#This Row],[Date]]-1)+4),1,1)-2),7)+(7*IF(MOD((DATE(YEAR(Runhours_Table[[#This Row],[Date]]-WEEKDAY(Runhours_Table[[#This Row],[Date]]-1)+4),1,1)-2),7)&gt;3,1,0))+7)</f>
        <v>2024</v>
      </c>
      <c r="E114" s="164">
        <f>_xlfn.ISOWEEKNUM(Runhours_Table[[#This Row],[Date]])</f>
        <v>50</v>
      </c>
      <c r="F114" s="160" t="str">
        <f>RIGHT(YEAR(Runhours_Table[[#This Row],[Date]]),2)&amp;TEXT(_xlfn.ISOWEEKNUM(Runhours_Table[[#This Row],[Date]]),"00")</f>
        <v>2450</v>
      </c>
      <c r="G114" s="38">
        <v>11.4</v>
      </c>
      <c r="H114" s="38">
        <v>13</v>
      </c>
      <c r="I114" s="38">
        <f ca="1">_xlfn.ISOWEEKNUM(Runhours_Table[[#This Row],[Date]])+52*(Runhours_Table[[#This Row],[Year]]-YEAR(DATE(YEAR(TODAY()-WEEKDAY(TODAY()-1)+4),1,1)-MOD((DATE(YEAR(TODAY()-WEEKDAY(TODAY()-1)+4),1,1)-2),7)+(7*IF(MOD((DATE(YEAR(TODAY()-WEEKDAY(TODAY()-1)+4),1,1)-2),7)&gt;3,1,0))+7) )-_xlfn.ISOWEEKNUM(NOW())</f>
        <v>-39</v>
      </c>
      <c r="J114" s="345"/>
    </row>
    <row r="115" spans="1:10">
      <c r="A115" s="6" t="s">
        <v>7</v>
      </c>
      <c r="B115" s="6" t="str">
        <f>VLOOKUP(A115,Fleet[],2,FALSE)</f>
        <v>Intel</v>
      </c>
      <c r="C115" s="160">
        <v>45641</v>
      </c>
      <c r="D115" s="346">
        <f>YEAR(DATE(YEAR(Runhours_Table[[#This Row],[Date]]-WEEKDAY(Runhours_Table[[#This Row],[Date]]-1)+4),1,1)-MOD((DATE(YEAR(Runhours_Table[[#This Row],[Date]]-WEEKDAY(Runhours_Table[[#This Row],[Date]]-1)+4),1,1)-2),7)+(7*IF(MOD((DATE(YEAR(Runhours_Table[[#This Row],[Date]]-WEEKDAY(Runhours_Table[[#This Row],[Date]]-1)+4),1,1)-2),7)&gt;3,1,0))+7)</f>
        <v>2024</v>
      </c>
      <c r="E115" s="164">
        <f>_xlfn.ISOWEEKNUM(Runhours_Table[[#This Row],[Date]])</f>
        <v>50</v>
      </c>
      <c r="F115" s="160" t="str">
        <f>RIGHT(YEAR(Runhours_Table[[#This Row],[Date]]),2)&amp;TEXT(_xlfn.ISOWEEKNUM(Runhours_Table[[#This Row],[Date]]),"00")</f>
        <v>2450</v>
      </c>
      <c r="G115" s="38">
        <v>0</v>
      </c>
      <c r="H115" s="38">
        <v>0</v>
      </c>
      <c r="I115" s="38">
        <f ca="1">_xlfn.ISOWEEKNUM(Runhours_Table[[#This Row],[Date]])+52*(Runhours_Table[[#This Row],[Year]]-YEAR(DATE(YEAR(TODAY()-WEEKDAY(TODAY()-1)+4),1,1)-MOD((DATE(YEAR(TODAY()-WEEKDAY(TODAY()-1)+4),1,1)-2),7)+(7*IF(MOD((DATE(YEAR(TODAY()-WEEKDAY(TODAY()-1)+4),1,1)-2),7)&gt;3,1,0))+7) )-_xlfn.ISOWEEKNUM(NOW())</f>
        <v>-39</v>
      </c>
      <c r="J115" s="345"/>
    </row>
    <row r="116" spans="1:10">
      <c r="A116" s="6" t="s">
        <v>4</v>
      </c>
      <c r="B116" s="6" t="str">
        <f>VLOOKUP(A116,Fleet[],2,FALSE)</f>
        <v>Intel</v>
      </c>
      <c r="C116" s="160">
        <v>45642</v>
      </c>
      <c r="D116" s="346">
        <f>YEAR(DATE(YEAR(Runhours_Table[[#This Row],[Date]]-WEEKDAY(Runhours_Table[[#This Row],[Date]]-1)+4),1,1)-MOD((DATE(YEAR(Runhours_Table[[#This Row],[Date]]-WEEKDAY(Runhours_Table[[#This Row],[Date]]-1)+4),1,1)-2),7)+(7*IF(MOD((DATE(YEAR(Runhours_Table[[#This Row],[Date]]-WEEKDAY(Runhours_Table[[#This Row],[Date]]-1)+4),1,1)-2),7)&gt;3,1,0))+7)</f>
        <v>2024</v>
      </c>
      <c r="E116" s="164">
        <f>_xlfn.ISOWEEKNUM(Runhours_Table[[#This Row],[Date]])</f>
        <v>51</v>
      </c>
      <c r="F116" s="160" t="str">
        <f>RIGHT(YEAR(Runhours_Table[[#This Row],[Date]]),2)&amp;TEXT(_xlfn.ISOWEEKNUM(Runhours_Table[[#This Row],[Date]]),"00")</f>
        <v>2451</v>
      </c>
      <c r="G116" s="38">
        <v>0</v>
      </c>
      <c r="H116" s="38">
        <v>1</v>
      </c>
      <c r="I116" s="38">
        <f ca="1">_xlfn.ISOWEEKNUM(Runhours_Table[[#This Row],[Date]])+52*(Runhours_Table[[#This Row],[Year]]-YEAR(DATE(YEAR(TODAY()-WEEKDAY(TODAY()-1)+4),1,1)-MOD((DATE(YEAR(TODAY()-WEEKDAY(TODAY()-1)+4),1,1)-2),7)+(7*IF(MOD((DATE(YEAR(TODAY()-WEEKDAY(TODAY()-1)+4),1,1)-2),7)&gt;3,1,0))+7) )-_xlfn.ISOWEEKNUM(NOW())</f>
        <v>-38</v>
      </c>
      <c r="J116" s="345"/>
    </row>
    <row r="117" spans="1:10">
      <c r="A117" s="6" t="s">
        <v>7</v>
      </c>
      <c r="B117" s="6" t="str">
        <f>VLOOKUP(A117,Fleet[],2,FALSE)</f>
        <v>Intel</v>
      </c>
      <c r="C117" s="160">
        <v>45642</v>
      </c>
      <c r="D117" s="346">
        <f>YEAR(DATE(YEAR(Runhours_Table[[#This Row],[Date]]-WEEKDAY(Runhours_Table[[#This Row],[Date]]-1)+4),1,1)-MOD((DATE(YEAR(Runhours_Table[[#This Row],[Date]]-WEEKDAY(Runhours_Table[[#This Row],[Date]]-1)+4),1,1)-2),7)+(7*IF(MOD((DATE(YEAR(Runhours_Table[[#This Row],[Date]]-WEEKDAY(Runhours_Table[[#This Row],[Date]]-1)+4),1,1)-2),7)&gt;3,1,0))+7)</f>
        <v>2024</v>
      </c>
      <c r="E117" s="164">
        <f>_xlfn.ISOWEEKNUM(Runhours_Table[[#This Row],[Date]])</f>
        <v>51</v>
      </c>
      <c r="F117" s="160" t="str">
        <f>RIGHT(YEAR(Runhours_Table[[#This Row],[Date]]),2)&amp;TEXT(_xlfn.ISOWEEKNUM(Runhours_Table[[#This Row],[Date]]),"00")</f>
        <v>2451</v>
      </c>
      <c r="G117" s="38">
        <v>0.6</v>
      </c>
      <c r="H117" s="38">
        <v>1</v>
      </c>
      <c r="I117" s="38">
        <f ca="1">_xlfn.ISOWEEKNUM(Runhours_Table[[#This Row],[Date]])+52*(Runhours_Table[[#This Row],[Year]]-YEAR(DATE(YEAR(TODAY()-WEEKDAY(TODAY()-1)+4),1,1)-MOD((DATE(YEAR(TODAY()-WEEKDAY(TODAY()-1)+4),1,1)-2),7)+(7*IF(MOD((DATE(YEAR(TODAY()-WEEKDAY(TODAY()-1)+4),1,1)-2),7)&gt;3,1,0))+7) )-_xlfn.ISOWEEKNUM(NOW())</f>
        <v>-38</v>
      </c>
      <c r="J117" s="345"/>
    </row>
    <row r="118" spans="1:10">
      <c r="A118" s="6" t="s">
        <v>4</v>
      </c>
      <c r="B118" s="6" t="str">
        <f>VLOOKUP(A118,Fleet[],2,FALSE)</f>
        <v>Intel</v>
      </c>
      <c r="C118" s="160">
        <v>45643</v>
      </c>
      <c r="D118" s="346">
        <f>YEAR(DATE(YEAR(Runhours_Table[[#This Row],[Date]]-WEEKDAY(Runhours_Table[[#This Row],[Date]]-1)+4),1,1)-MOD((DATE(YEAR(Runhours_Table[[#This Row],[Date]]-WEEKDAY(Runhours_Table[[#This Row],[Date]]-1)+4),1,1)-2),7)+(7*IF(MOD((DATE(YEAR(Runhours_Table[[#This Row],[Date]]-WEEKDAY(Runhours_Table[[#This Row],[Date]]-1)+4),1,1)-2),7)&gt;3,1,0))+7)</f>
        <v>2024</v>
      </c>
      <c r="E118" s="164">
        <f>_xlfn.ISOWEEKNUM(Runhours_Table[[#This Row],[Date]])</f>
        <v>51</v>
      </c>
      <c r="F118" s="160" t="str">
        <f>RIGHT(YEAR(Runhours_Table[[#This Row],[Date]]),2)&amp;TEXT(_xlfn.ISOWEEKNUM(Runhours_Table[[#This Row],[Date]]),"00")</f>
        <v>2451</v>
      </c>
      <c r="G118" s="38">
        <v>2.6</v>
      </c>
      <c r="H118" s="38">
        <v>21</v>
      </c>
      <c r="I118" s="38">
        <f ca="1">_xlfn.ISOWEEKNUM(Runhours_Table[[#This Row],[Date]])+52*(Runhours_Table[[#This Row],[Year]]-YEAR(DATE(YEAR(TODAY()-WEEKDAY(TODAY()-1)+4),1,1)-MOD((DATE(YEAR(TODAY()-WEEKDAY(TODAY()-1)+4),1,1)-2),7)+(7*IF(MOD((DATE(YEAR(TODAY()-WEEKDAY(TODAY()-1)+4),1,1)-2),7)&gt;3,1,0))+7) )-_xlfn.ISOWEEKNUM(NOW())</f>
        <v>-38</v>
      </c>
      <c r="J118" s="345"/>
    </row>
    <row r="119" spans="1:10">
      <c r="A119" s="6" t="s">
        <v>7</v>
      </c>
      <c r="B119" s="6" t="str">
        <f>VLOOKUP(A119,Fleet[],2,FALSE)</f>
        <v>Intel</v>
      </c>
      <c r="C119" s="160">
        <v>45643</v>
      </c>
      <c r="D119" s="346">
        <f>YEAR(DATE(YEAR(Runhours_Table[[#This Row],[Date]]-WEEKDAY(Runhours_Table[[#This Row],[Date]]-1)+4),1,1)-MOD((DATE(YEAR(Runhours_Table[[#This Row],[Date]]-WEEKDAY(Runhours_Table[[#This Row],[Date]]-1)+4),1,1)-2),7)+(7*IF(MOD((DATE(YEAR(Runhours_Table[[#This Row],[Date]]-WEEKDAY(Runhours_Table[[#This Row],[Date]]-1)+4),1,1)-2),7)&gt;3,1,0))+7)</f>
        <v>2024</v>
      </c>
      <c r="E119" s="164">
        <f>_xlfn.ISOWEEKNUM(Runhours_Table[[#This Row],[Date]])</f>
        <v>51</v>
      </c>
      <c r="F119" s="160" t="str">
        <f>RIGHT(YEAR(Runhours_Table[[#This Row],[Date]]),2)&amp;TEXT(_xlfn.ISOWEEKNUM(Runhours_Table[[#This Row],[Date]]),"00")</f>
        <v>2451</v>
      </c>
      <c r="G119" s="38">
        <v>2.9</v>
      </c>
      <c r="H119" s="38">
        <v>14</v>
      </c>
      <c r="I119" s="38">
        <f ca="1">_xlfn.ISOWEEKNUM(Runhours_Table[[#This Row],[Date]])+52*(Runhours_Table[[#This Row],[Year]]-YEAR(DATE(YEAR(TODAY()-WEEKDAY(TODAY()-1)+4),1,1)-MOD((DATE(YEAR(TODAY()-WEEKDAY(TODAY()-1)+4),1,1)-2),7)+(7*IF(MOD((DATE(YEAR(TODAY()-WEEKDAY(TODAY()-1)+4),1,1)-2),7)&gt;3,1,0))+7) )-_xlfn.ISOWEEKNUM(NOW())</f>
        <v>-38</v>
      </c>
      <c r="J119" s="345"/>
    </row>
    <row r="120" spans="1:10">
      <c r="A120" s="6" t="s">
        <v>4</v>
      </c>
      <c r="B120" s="6" t="str">
        <f>VLOOKUP(A120,Fleet[],2,FALSE)</f>
        <v>Intel</v>
      </c>
      <c r="C120" s="160">
        <v>45644</v>
      </c>
      <c r="D120" s="346">
        <f>YEAR(DATE(YEAR(Runhours_Table[[#This Row],[Date]]-WEEKDAY(Runhours_Table[[#This Row],[Date]]-1)+4),1,1)-MOD((DATE(YEAR(Runhours_Table[[#This Row],[Date]]-WEEKDAY(Runhours_Table[[#This Row],[Date]]-1)+4),1,1)-2),7)+(7*IF(MOD((DATE(YEAR(Runhours_Table[[#This Row],[Date]]-WEEKDAY(Runhours_Table[[#This Row],[Date]]-1)+4),1,1)-2),7)&gt;3,1,0))+7)</f>
        <v>2024</v>
      </c>
      <c r="E120" s="164">
        <f>_xlfn.ISOWEEKNUM(Runhours_Table[[#This Row],[Date]])</f>
        <v>51</v>
      </c>
      <c r="F120" s="160" t="str">
        <f>RIGHT(YEAR(Runhours_Table[[#This Row],[Date]]),2)&amp;TEXT(_xlfn.ISOWEEKNUM(Runhours_Table[[#This Row],[Date]]),"00")</f>
        <v>2451</v>
      </c>
      <c r="G120" s="38">
        <v>0</v>
      </c>
      <c r="H120" s="38">
        <v>24</v>
      </c>
      <c r="I120" s="38">
        <f ca="1">_xlfn.ISOWEEKNUM(Runhours_Table[[#This Row],[Date]])+52*(Runhours_Table[[#This Row],[Year]]-YEAR(DATE(YEAR(TODAY()-WEEKDAY(TODAY()-1)+4),1,1)-MOD((DATE(YEAR(TODAY()-WEEKDAY(TODAY()-1)+4),1,1)-2),7)+(7*IF(MOD((DATE(YEAR(TODAY()-WEEKDAY(TODAY()-1)+4),1,1)-2),7)&gt;3,1,0))+7) )-_xlfn.ISOWEEKNUM(NOW())</f>
        <v>-38</v>
      </c>
      <c r="J120" s="345"/>
    </row>
    <row r="121" spans="1:10">
      <c r="A121" s="6" t="s">
        <v>7</v>
      </c>
      <c r="B121" s="6" t="str">
        <f>VLOOKUP(A121,Fleet[],2,FALSE)</f>
        <v>Intel</v>
      </c>
      <c r="C121" s="160">
        <v>45644</v>
      </c>
      <c r="D121" s="346">
        <f>YEAR(DATE(YEAR(Runhours_Table[[#This Row],[Date]]-WEEKDAY(Runhours_Table[[#This Row],[Date]]-1)+4),1,1)-MOD((DATE(YEAR(Runhours_Table[[#This Row],[Date]]-WEEKDAY(Runhours_Table[[#This Row],[Date]]-1)+4),1,1)-2),7)+(7*IF(MOD((DATE(YEAR(Runhours_Table[[#This Row],[Date]]-WEEKDAY(Runhours_Table[[#This Row],[Date]]-1)+4),1,1)-2),7)&gt;3,1,0))+7)</f>
        <v>2024</v>
      </c>
      <c r="E121" s="164">
        <f>_xlfn.ISOWEEKNUM(Runhours_Table[[#This Row],[Date]])</f>
        <v>51</v>
      </c>
      <c r="F121" s="160" t="str">
        <f>RIGHT(YEAR(Runhours_Table[[#This Row],[Date]]),2)&amp;TEXT(_xlfn.ISOWEEKNUM(Runhours_Table[[#This Row],[Date]]),"00")</f>
        <v>2451</v>
      </c>
      <c r="G121" s="38">
        <v>8.6</v>
      </c>
      <c r="H121" s="38">
        <v>12</v>
      </c>
      <c r="I121" s="38">
        <f ca="1">_xlfn.ISOWEEKNUM(Runhours_Table[[#This Row],[Date]])+52*(Runhours_Table[[#This Row],[Year]]-YEAR(DATE(YEAR(TODAY()-WEEKDAY(TODAY()-1)+4),1,1)-MOD((DATE(YEAR(TODAY()-WEEKDAY(TODAY()-1)+4),1,1)-2),7)+(7*IF(MOD((DATE(YEAR(TODAY()-WEEKDAY(TODAY()-1)+4),1,1)-2),7)&gt;3,1,0))+7) )-_xlfn.ISOWEEKNUM(NOW())</f>
        <v>-38</v>
      </c>
      <c r="J121" s="345"/>
    </row>
    <row r="122" spans="1:10">
      <c r="A122" s="6" t="s">
        <v>4</v>
      </c>
      <c r="B122" s="6" t="str">
        <f>VLOOKUP(A122,Fleet[],2,FALSE)</f>
        <v>Intel</v>
      </c>
      <c r="C122" s="160">
        <v>45645</v>
      </c>
      <c r="D122" s="346">
        <f>YEAR(DATE(YEAR(Runhours_Table[[#This Row],[Date]]-WEEKDAY(Runhours_Table[[#This Row],[Date]]-1)+4),1,1)-MOD((DATE(YEAR(Runhours_Table[[#This Row],[Date]]-WEEKDAY(Runhours_Table[[#This Row],[Date]]-1)+4),1,1)-2),7)+(7*IF(MOD((DATE(YEAR(Runhours_Table[[#This Row],[Date]]-WEEKDAY(Runhours_Table[[#This Row],[Date]]-1)+4),1,1)-2),7)&gt;3,1,0))+7)</f>
        <v>2024</v>
      </c>
      <c r="E122" s="164">
        <f>_xlfn.ISOWEEKNUM(Runhours_Table[[#This Row],[Date]])</f>
        <v>51</v>
      </c>
      <c r="F122" s="160" t="str">
        <f>RIGHT(YEAR(Runhours_Table[[#This Row],[Date]]),2)&amp;TEXT(_xlfn.ISOWEEKNUM(Runhours_Table[[#This Row],[Date]]),"00")</f>
        <v>2451</v>
      </c>
      <c r="G122" s="38">
        <v>0</v>
      </c>
      <c r="H122" s="38">
        <v>24</v>
      </c>
      <c r="I122" s="38">
        <f ca="1">_xlfn.ISOWEEKNUM(Runhours_Table[[#This Row],[Date]])+52*(Runhours_Table[[#This Row],[Year]]-YEAR(DATE(YEAR(TODAY()-WEEKDAY(TODAY()-1)+4),1,1)-MOD((DATE(YEAR(TODAY()-WEEKDAY(TODAY()-1)+4),1,1)-2),7)+(7*IF(MOD((DATE(YEAR(TODAY()-WEEKDAY(TODAY()-1)+4),1,1)-2),7)&gt;3,1,0))+7) )-_xlfn.ISOWEEKNUM(NOW())</f>
        <v>-38</v>
      </c>
      <c r="J122" s="345"/>
    </row>
    <row r="123" spans="1:10">
      <c r="A123" s="6" t="s">
        <v>7</v>
      </c>
      <c r="B123" s="6" t="str">
        <f>VLOOKUP(A123,Fleet[],2,FALSE)</f>
        <v>Intel</v>
      </c>
      <c r="C123" s="160">
        <v>45645</v>
      </c>
      <c r="D123" s="346">
        <f>YEAR(DATE(YEAR(Runhours_Table[[#This Row],[Date]]-WEEKDAY(Runhours_Table[[#This Row],[Date]]-1)+4),1,1)-MOD((DATE(YEAR(Runhours_Table[[#This Row],[Date]]-WEEKDAY(Runhours_Table[[#This Row],[Date]]-1)+4),1,1)-2),7)+(7*IF(MOD((DATE(YEAR(Runhours_Table[[#This Row],[Date]]-WEEKDAY(Runhours_Table[[#This Row],[Date]]-1)+4),1,1)-2),7)&gt;3,1,0))+7)</f>
        <v>2024</v>
      </c>
      <c r="E123" s="164">
        <f>_xlfn.ISOWEEKNUM(Runhours_Table[[#This Row],[Date]])</f>
        <v>51</v>
      </c>
      <c r="F123" s="160" t="str">
        <f>RIGHT(YEAR(Runhours_Table[[#This Row],[Date]]),2)&amp;TEXT(_xlfn.ISOWEEKNUM(Runhours_Table[[#This Row],[Date]]),"00")</f>
        <v>2451</v>
      </c>
      <c r="G123" s="38">
        <v>13.4</v>
      </c>
      <c r="H123" s="38">
        <v>21</v>
      </c>
      <c r="I123" s="38">
        <f ca="1">_xlfn.ISOWEEKNUM(Runhours_Table[[#This Row],[Date]])+52*(Runhours_Table[[#This Row],[Year]]-YEAR(DATE(YEAR(TODAY()-WEEKDAY(TODAY()-1)+4),1,1)-MOD((DATE(YEAR(TODAY()-WEEKDAY(TODAY()-1)+4),1,1)-2),7)+(7*IF(MOD((DATE(YEAR(TODAY()-WEEKDAY(TODAY()-1)+4),1,1)-2),7)&gt;3,1,0))+7) )-_xlfn.ISOWEEKNUM(NOW())</f>
        <v>-38</v>
      </c>
      <c r="J123" s="345"/>
    </row>
    <row r="124" spans="1:10">
      <c r="A124" s="6" t="s">
        <v>4</v>
      </c>
      <c r="B124" s="6" t="str">
        <f>VLOOKUP(A124,Fleet[],2,FALSE)</f>
        <v>Intel</v>
      </c>
      <c r="C124" s="160">
        <v>45646</v>
      </c>
      <c r="D124" s="346">
        <f>YEAR(DATE(YEAR(Runhours_Table[[#This Row],[Date]]-WEEKDAY(Runhours_Table[[#This Row],[Date]]-1)+4),1,1)-MOD((DATE(YEAR(Runhours_Table[[#This Row],[Date]]-WEEKDAY(Runhours_Table[[#This Row],[Date]]-1)+4),1,1)-2),7)+(7*IF(MOD((DATE(YEAR(Runhours_Table[[#This Row],[Date]]-WEEKDAY(Runhours_Table[[#This Row],[Date]]-1)+4),1,1)-2),7)&gt;3,1,0))+7)</f>
        <v>2024</v>
      </c>
      <c r="E124" s="164">
        <f>_xlfn.ISOWEEKNUM(Runhours_Table[[#This Row],[Date]])</f>
        <v>51</v>
      </c>
      <c r="F124" s="160" t="str">
        <f>RIGHT(YEAR(Runhours_Table[[#This Row],[Date]]),2)&amp;TEXT(_xlfn.ISOWEEKNUM(Runhours_Table[[#This Row],[Date]]),"00")</f>
        <v>2451</v>
      </c>
      <c r="G124" s="38">
        <v>2.8</v>
      </c>
      <c r="H124" s="38">
        <v>21</v>
      </c>
      <c r="I124" s="38">
        <f ca="1">_xlfn.ISOWEEKNUM(Runhours_Table[[#This Row],[Date]])+52*(Runhours_Table[[#This Row],[Year]]-YEAR(DATE(YEAR(TODAY()-WEEKDAY(TODAY()-1)+4),1,1)-MOD((DATE(YEAR(TODAY()-WEEKDAY(TODAY()-1)+4),1,1)-2),7)+(7*IF(MOD((DATE(YEAR(TODAY()-WEEKDAY(TODAY()-1)+4),1,1)-2),7)&gt;3,1,0))+7) )-_xlfn.ISOWEEKNUM(NOW())</f>
        <v>-38</v>
      </c>
      <c r="J124" s="345"/>
    </row>
    <row r="125" spans="1:10">
      <c r="A125" s="6" t="s">
        <v>7</v>
      </c>
      <c r="B125" s="6" t="str">
        <f>VLOOKUP(A125,Fleet[],2,FALSE)</f>
        <v>Intel</v>
      </c>
      <c r="C125" s="160">
        <v>45646</v>
      </c>
      <c r="D125" s="346">
        <f>YEAR(DATE(YEAR(Runhours_Table[[#This Row],[Date]]-WEEKDAY(Runhours_Table[[#This Row],[Date]]-1)+4),1,1)-MOD((DATE(YEAR(Runhours_Table[[#This Row],[Date]]-WEEKDAY(Runhours_Table[[#This Row],[Date]]-1)+4),1,1)-2),7)+(7*IF(MOD((DATE(YEAR(Runhours_Table[[#This Row],[Date]]-WEEKDAY(Runhours_Table[[#This Row],[Date]]-1)+4),1,1)-2),7)&gt;3,1,0))+7)</f>
        <v>2024</v>
      </c>
      <c r="E125" s="164">
        <f>_xlfn.ISOWEEKNUM(Runhours_Table[[#This Row],[Date]])</f>
        <v>51</v>
      </c>
      <c r="F125" s="160" t="str">
        <f>RIGHT(YEAR(Runhours_Table[[#This Row],[Date]]),2)&amp;TEXT(_xlfn.ISOWEEKNUM(Runhours_Table[[#This Row],[Date]]),"00")</f>
        <v>2451</v>
      </c>
      <c r="G125" s="38">
        <v>10.3</v>
      </c>
      <c r="H125" s="38">
        <v>13</v>
      </c>
      <c r="I125" s="38">
        <f ca="1">_xlfn.ISOWEEKNUM(Runhours_Table[[#This Row],[Date]])+52*(Runhours_Table[[#This Row],[Year]]-YEAR(DATE(YEAR(TODAY()-WEEKDAY(TODAY()-1)+4),1,1)-MOD((DATE(YEAR(TODAY()-WEEKDAY(TODAY()-1)+4),1,1)-2),7)+(7*IF(MOD((DATE(YEAR(TODAY()-WEEKDAY(TODAY()-1)+4),1,1)-2),7)&gt;3,1,0))+7) )-_xlfn.ISOWEEKNUM(NOW())</f>
        <v>-38</v>
      </c>
      <c r="J125" s="345"/>
    </row>
    <row r="126" spans="1:10">
      <c r="A126" s="6" t="s">
        <v>4</v>
      </c>
      <c r="B126" s="6" t="str">
        <f>VLOOKUP(A126,Fleet[],2,FALSE)</f>
        <v>Intel</v>
      </c>
      <c r="C126" s="160">
        <v>45647</v>
      </c>
      <c r="D126" s="346">
        <f>YEAR(DATE(YEAR(Runhours_Table[[#This Row],[Date]]-WEEKDAY(Runhours_Table[[#This Row],[Date]]-1)+4),1,1)-MOD((DATE(YEAR(Runhours_Table[[#This Row],[Date]]-WEEKDAY(Runhours_Table[[#This Row],[Date]]-1)+4),1,1)-2),7)+(7*IF(MOD((DATE(YEAR(Runhours_Table[[#This Row],[Date]]-WEEKDAY(Runhours_Table[[#This Row],[Date]]-1)+4),1,1)-2),7)&gt;3,1,0))+7)</f>
        <v>2024</v>
      </c>
      <c r="E126" s="164">
        <f>_xlfn.ISOWEEKNUM(Runhours_Table[[#This Row],[Date]])</f>
        <v>51</v>
      </c>
      <c r="F126" s="160" t="str">
        <f>RIGHT(YEAR(Runhours_Table[[#This Row],[Date]]),2)&amp;TEXT(_xlfn.ISOWEEKNUM(Runhours_Table[[#This Row],[Date]]),"00")</f>
        <v>2451</v>
      </c>
      <c r="G126" s="38">
        <v>16.899999999999999</v>
      </c>
      <c r="H126" s="38">
        <v>24</v>
      </c>
      <c r="I126" s="38">
        <f ca="1">_xlfn.ISOWEEKNUM(Runhours_Table[[#This Row],[Date]])+52*(Runhours_Table[[#This Row],[Year]]-YEAR(DATE(YEAR(TODAY()-WEEKDAY(TODAY()-1)+4),1,1)-MOD((DATE(YEAR(TODAY()-WEEKDAY(TODAY()-1)+4),1,1)-2),7)+(7*IF(MOD((DATE(YEAR(TODAY()-WEEKDAY(TODAY()-1)+4),1,1)-2),7)&gt;3,1,0))+7) )-_xlfn.ISOWEEKNUM(NOW())</f>
        <v>-38</v>
      </c>
      <c r="J126" s="345"/>
    </row>
    <row r="127" spans="1:10">
      <c r="A127" s="6" t="s">
        <v>7</v>
      </c>
      <c r="B127" s="6" t="str">
        <f>VLOOKUP(A127,Fleet[],2,FALSE)</f>
        <v>Intel</v>
      </c>
      <c r="C127" s="160">
        <v>45647</v>
      </c>
      <c r="D127" s="346">
        <f>YEAR(DATE(YEAR(Runhours_Table[[#This Row],[Date]]-WEEKDAY(Runhours_Table[[#This Row],[Date]]-1)+4),1,1)-MOD((DATE(YEAR(Runhours_Table[[#This Row],[Date]]-WEEKDAY(Runhours_Table[[#This Row],[Date]]-1)+4),1,1)-2),7)+(7*IF(MOD((DATE(YEAR(Runhours_Table[[#This Row],[Date]]-WEEKDAY(Runhours_Table[[#This Row],[Date]]-1)+4),1,1)-2),7)&gt;3,1,0))+7)</f>
        <v>2024</v>
      </c>
      <c r="E127" s="164">
        <f>_xlfn.ISOWEEKNUM(Runhours_Table[[#This Row],[Date]])</f>
        <v>51</v>
      </c>
      <c r="F127" s="160" t="str">
        <f>RIGHT(YEAR(Runhours_Table[[#This Row],[Date]]),2)&amp;TEXT(_xlfn.ISOWEEKNUM(Runhours_Table[[#This Row],[Date]]),"00")</f>
        <v>2451</v>
      </c>
      <c r="G127" s="38">
        <v>13.9</v>
      </c>
      <c r="H127" s="38">
        <v>19</v>
      </c>
      <c r="I127" s="38">
        <f ca="1">_xlfn.ISOWEEKNUM(Runhours_Table[[#This Row],[Date]])+52*(Runhours_Table[[#This Row],[Year]]-YEAR(DATE(YEAR(TODAY()-WEEKDAY(TODAY()-1)+4),1,1)-MOD((DATE(YEAR(TODAY()-WEEKDAY(TODAY()-1)+4),1,1)-2),7)+(7*IF(MOD((DATE(YEAR(TODAY()-WEEKDAY(TODAY()-1)+4),1,1)-2),7)&gt;3,1,0))+7) )-_xlfn.ISOWEEKNUM(NOW())</f>
        <v>-38</v>
      </c>
      <c r="J127" s="345"/>
    </row>
    <row r="128" spans="1:10">
      <c r="A128" s="6" t="s">
        <v>4</v>
      </c>
      <c r="B128" s="6" t="str">
        <f>VLOOKUP(A128,Fleet[],2,FALSE)</f>
        <v>Intel</v>
      </c>
      <c r="C128" s="160">
        <v>45648</v>
      </c>
      <c r="D128" s="346">
        <f>YEAR(DATE(YEAR(Runhours_Table[[#This Row],[Date]]-WEEKDAY(Runhours_Table[[#This Row],[Date]]-1)+4),1,1)-MOD((DATE(YEAR(Runhours_Table[[#This Row],[Date]]-WEEKDAY(Runhours_Table[[#This Row],[Date]]-1)+4),1,1)-2),7)+(7*IF(MOD((DATE(YEAR(Runhours_Table[[#This Row],[Date]]-WEEKDAY(Runhours_Table[[#This Row],[Date]]-1)+4),1,1)-2),7)&gt;3,1,0))+7)</f>
        <v>2024</v>
      </c>
      <c r="E128" s="164">
        <f>_xlfn.ISOWEEKNUM(Runhours_Table[[#This Row],[Date]])</f>
        <v>51</v>
      </c>
      <c r="F128" s="160" t="str">
        <f>RIGHT(YEAR(Runhours_Table[[#This Row],[Date]]),2)&amp;TEXT(_xlfn.ISOWEEKNUM(Runhours_Table[[#This Row],[Date]]),"00")</f>
        <v>2451</v>
      </c>
      <c r="G128" s="38">
        <v>8.1</v>
      </c>
      <c r="H128" s="38">
        <v>10</v>
      </c>
      <c r="I128" s="38">
        <f ca="1">_xlfn.ISOWEEKNUM(Runhours_Table[[#This Row],[Date]])+52*(Runhours_Table[[#This Row],[Year]]-YEAR(DATE(YEAR(TODAY()-WEEKDAY(TODAY()-1)+4),1,1)-MOD((DATE(YEAR(TODAY()-WEEKDAY(TODAY()-1)+4),1,1)-2),7)+(7*IF(MOD((DATE(YEAR(TODAY()-WEEKDAY(TODAY()-1)+4),1,1)-2),7)&gt;3,1,0))+7) )-_xlfn.ISOWEEKNUM(NOW())</f>
        <v>-38</v>
      </c>
      <c r="J128" s="345"/>
    </row>
    <row r="129" spans="1:10">
      <c r="A129" s="6" t="s">
        <v>7</v>
      </c>
      <c r="B129" s="6" t="str">
        <f>VLOOKUP(A129,Fleet[],2,FALSE)</f>
        <v>Intel</v>
      </c>
      <c r="C129" s="160">
        <v>45648</v>
      </c>
      <c r="D129" s="346">
        <f>YEAR(DATE(YEAR(Runhours_Table[[#This Row],[Date]]-WEEKDAY(Runhours_Table[[#This Row],[Date]]-1)+4),1,1)-MOD((DATE(YEAR(Runhours_Table[[#This Row],[Date]]-WEEKDAY(Runhours_Table[[#This Row],[Date]]-1)+4),1,1)-2),7)+(7*IF(MOD((DATE(YEAR(Runhours_Table[[#This Row],[Date]]-WEEKDAY(Runhours_Table[[#This Row],[Date]]-1)+4),1,1)-2),7)&gt;3,1,0))+7)</f>
        <v>2024</v>
      </c>
      <c r="E129" s="164">
        <f>_xlfn.ISOWEEKNUM(Runhours_Table[[#This Row],[Date]])</f>
        <v>51</v>
      </c>
      <c r="F129" s="160" t="str">
        <f>RIGHT(YEAR(Runhours_Table[[#This Row],[Date]]),2)&amp;TEXT(_xlfn.ISOWEEKNUM(Runhours_Table[[#This Row],[Date]]),"00")</f>
        <v>2451</v>
      </c>
      <c r="G129" s="38">
        <v>8.4</v>
      </c>
      <c r="H129" s="38">
        <v>10</v>
      </c>
      <c r="I129" s="38">
        <f ca="1">_xlfn.ISOWEEKNUM(Runhours_Table[[#This Row],[Date]])+52*(Runhours_Table[[#This Row],[Year]]-YEAR(DATE(YEAR(TODAY()-WEEKDAY(TODAY()-1)+4),1,1)-MOD((DATE(YEAR(TODAY()-WEEKDAY(TODAY()-1)+4),1,1)-2),7)+(7*IF(MOD((DATE(YEAR(TODAY()-WEEKDAY(TODAY()-1)+4),1,1)-2),7)&gt;3,1,0))+7) )-_xlfn.ISOWEEKNUM(NOW())</f>
        <v>-38</v>
      </c>
      <c r="J129" s="345"/>
    </row>
    <row r="130" spans="1:10">
      <c r="A130" s="6" t="s">
        <v>4</v>
      </c>
      <c r="B130" s="6" t="str">
        <f>VLOOKUP(A130,Fleet[],2,FALSE)</f>
        <v>Intel</v>
      </c>
      <c r="C130" s="160">
        <v>45649</v>
      </c>
      <c r="D130" s="346">
        <f>YEAR(DATE(YEAR(Runhours_Table[[#This Row],[Date]]-WEEKDAY(Runhours_Table[[#This Row],[Date]]-1)+4),1,1)-MOD((DATE(YEAR(Runhours_Table[[#This Row],[Date]]-WEEKDAY(Runhours_Table[[#This Row],[Date]]-1)+4),1,1)-2),7)+(7*IF(MOD((DATE(YEAR(Runhours_Table[[#This Row],[Date]]-WEEKDAY(Runhours_Table[[#This Row],[Date]]-1)+4),1,1)-2),7)&gt;3,1,0))+7)</f>
        <v>2024</v>
      </c>
      <c r="E130" s="164">
        <f>_xlfn.ISOWEEKNUM(Runhours_Table[[#This Row],[Date]])</f>
        <v>52</v>
      </c>
      <c r="F130" s="160" t="str">
        <f>RIGHT(YEAR(Runhours_Table[[#This Row],[Date]]),2)&amp;TEXT(_xlfn.ISOWEEKNUM(Runhours_Table[[#This Row],[Date]]),"00")</f>
        <v>2452</v>
      </c>
      <c r="G130" s="38">
        <v>15.9</v>
      </c>
      <c r="H130" s="38">
        <v>22</v>
      </c>
      <c r="I130" s="38">
        <f ca="1">_xlfn.ISOWEEKNUM(Runhours_Table[[#This Row],[Date]])+52*(Runhours_Table[[#This Row],[Year]]-YEAR(DATE(YEAR(TODAY()-WEEKDAY(TODAY()-1)+4),1,1)-MOD((DATE(YEAR(TODAY()-WEEKDAY(TODAY()-1)+4),1,1)-2),7)+(7*IF(MOD((DATE(YEAR(TODAY()-WEEKDAY(TODAY()-1)+4),1,1)-2),7)&gt;3,1,0))+7) )-_xlfn.ISOWEEKNUM(NOW())</f>
        <v>-37</v>
      </c>
      <c r="J130" s="345"/>
    </row>
    <row r="131" spans="1:10">
      <c r="A131" s="6" t="s">
        <v>7</v>
      </c>
      <c r="B131" s="6" t="str">
        <f>VLOOKUP(A131,Fleet[],2,FALSE)</f>
        <v>Intel</v>
      </c>
      <c r="C131" s="160">
        <v>45649</v>
      </c>
      <c r="D131" s="346">
        <f>YEAR(DATE(YEAR(Runhours_Table[[#This Row],[Date]]-WEEKDAY(Runhours_Table[[#This Row],[Date]]-1)+4),1,1)-MOD((DATE(YEAR(Runhours_Table[[#This Row],[Date]]-WEEKDAY(Runhours_Table[[#This Row],[Date]]-1)+4),1,1)-2),7)+(7*IF(MOD((DATE(YEAR(Runhours_Table[[#This Row],[Date]]-WEEKDAY(Runhours_Table[[#This Row],[Date]]-1)+4),1,1)-2),7)&gt;3,1,0))+7)</f>
        <v>2024</v>
      </c>
      <c r="E131" s="164">
        <f>_xlfn.ISOWEEKNUM(Runhours_Table[[#This Row],[Date]])</f>
        <v>52</v>
      </c>
      <c r="F131" s="160" t="str">
        <f>RIGHT(YEAR(Runhours_Table[[#This Row],[Date]]),2)&amp;TEXT(_xlfn.ISOWEEKNUM(Runhours_Table[[#This Row],[Date]]),"00")</f>
        <v>2452</v>
      </c>
      <c r="G131" s="38">
        <v>20.6</v>
      </c>
      <c r="H131" s="38">
        <v>22</v>
      </c>
      <c r="I131" s="38">
        <f ca="1">_xlfn.ISOWEEKNUM(Runhours_Table[[#This Row],[Date]])+52*(Runhours_Table[[#This Row],[Year]]-YEAR(DATE(YEAR(TODAY()-WEEKDAY(TODAY()-1)+4),1,1)-MOD((DATE(YEAR(TODAY()-WEEKDAY(TODAY()-1)+4),1,1)-2),7)+(7*IF(MOD((DATE(YEAR(TODAY()-WEEKDAY(TODAY()-1)+4),1,1)-2),7)&gt;3,1,0))+7) )-_xlfn.ISOWEEKNUM(NOW())</f>
        <v>-37</v>
      </c>
      <c r="J131" s="345"/>
    </row>
    <row r="132" spans="1:10">
      <c r="A132" s="6" t="s">
        <v>4</v>
      </c>
      <c r="B132" s="6" t="str">
        <f>VLOOKUP(A132,Fleet[],2,FALSE)</f>
        <v>Intel</v>
      </c>
      <c r="C132" s="160">
        <v>45650</v>
      </c>
      <c r="D132" s="346">
        <f>YEAR(DATE(YEAR(Runhours_Table[[#This Row],[Date]]-WEEKDAY(Runhours_Table[[#This Row],[Date]]-1)+4),1,1)-MOD((DATE(YEAR(Runhours_Table[[#This Row],[Date]]-WEEKDAY(Runhours_Table[[#This Row],[Date]]-1)+4),1,1)-2),7)+(7*IF(MOD((DATE(YEAR(Runhours_Table[[#This Row],[Date]]-WEEKDAY(Runhours_Table[[#This Row],[Date]]-1)+4),1,1)-2),7)&gt;3,1,0))+7)</f>
        <v>2024</v>
      </c>
      <c r="E132" s="164">
        <f>_xlfn.ISOWEEKNUM(Runhours_Table[[#This Row],[Date]])</f>
        <v>52</v>
      </c>
      <c r="F132" s="160" t="str">
        <f>RIGHT(YEAR(Runhours_Table[[#This Row],[Date]]),2)&amp;TEXT(_xlfn.ISOWEEKNUM(Runhours_Table[[#This Row],[Date]]),"00")</f>
        <v>2452</v>
      </c>
      <c r="G132" s="38">
        <v>6.5</v>
      </c>
      <c r="H132" s="38">
        <v>24</v>
      </c>
      <c r="I132" s="38">
        <f ca="1">_xlfn.ISOWEEKNUM(Runhours_Table[[#This Row],[Date]])+52*(Runhours_Table[[#This Row],[Year]]-YEAR(DATE(YEAR(TODAY()-WEEKDAY(TODAY()-1)+4),1,1)-MOD((DATE(YEAR(TODAY()-WEEKDAY(TODAY()-1)+4),1,1)-2),7)+(7*IF(MOD((DATE(YEAR(TODAY()-WEEKDAY(TODAY()-1)+4),1,1)-2),7)&gt;3,1,0))+7) )-_xlfn.ISOWEEKNUM(NOW())</f>
        <v>-37</v>
      </c>
      <c r="J132" s="345"/>
    </row>
    <row r="133" spans="1:10">
      <c r="A133" s="6" t="s">
        <v>7</v>
      </c>
      <c r="B133" s="6" t="str">
        <f>VLOOKUP(A133,Fleet[],2,FALSE)</f>
        <v>Intel</v>
      </c>
      <c r="C133" s="160">
        <v>45650</v>
      </c>
      <c r="D133" s="346">
        <f>YEAR(DATE(YEAR(Runhours_Table[[#This Row],[Date]]-WEEKDAY(Runhours_Table[[#This Row],[Date]]-1)+4),1,1)-MOD((DATE(YEAR(Runhours_Table[[#This Row],[Date]]-WEEKDAY(Runhours_Table[[#This Row],[Date]]-1)+4),1,1)-2),7)+(7*IF(MOD((DATE(YEAR(Runhours_Table[[#This Row],[Date]]-WEEKDAY(Runhours_Table[[#This Row],[Date]]-1)+4),1,1)-2),7)&gt;3,1,0))+7)</f>
        <v>2024</v>
      </c>
      <c r="E133" s="164">
        <f>_xlfn.ISOWEEKNUM(Runhours_Table[[#This Row],[Date]])</f>
        <v>52</v>
      </c>
      <c r="F133" s="160" t="str">
        <f>RIGHT(YEAR(Runhours_Table[[#This Row],[Date]]),2)&amp;TEXT(_xlfn.ISOWEEKNUM(Runhours_Table[[#This Row],[Date]]),"00")</f>
        <v>2452</v>
      </c>
      <c r="G133" s="38">
        <v>3.1</v>
      </c>
      <c r="H133" s="38">
        <v>6</v>
      </c>
      <c r="I133" s="38">
        <f ca="1">_xlfn.ISOWEEKNUM(Runhours_Table[[#This Row],[Date]])+52*(Runhours_Table[[#This Row],[Year]]-YEAR(DATE(YEAR(TODAY()-WEEKDAY(TODAY()-1)+4),1,1)-MOD((DATE(YEAR(TODAY()-WEEKDAY(TODAY()-1)+4),1,1)-2),7)+(7*IF(MOD((DATE(YEAR(TODAY()-WEEKDAY(TODAY()-1)+4),1,1)-2),7)&gt;3,1,0))+7) )-_xlfn.ISOWEEKNUM(NOW())</f>
        <v>-37</v>
      </c>
      <c r="J133" s="345"/>
    </row>
    <row r="134" spans="1:10">
      <c r="A134" s="6" t="s">
        <v>4</v>
      </c>
      <c r="B134" s="6" t="str">
        <f>VLOOKUP(A134,Fleet[],2,FALSE)</f>
        <v>Intel</v>
      </c>
      <c r="C134" s="160">
        <v>45651</v>
      </c>
      <c r="D134" s="346">
        <f>YEAR(DATE(YEAR(Runhours_Table[[#This Row],[Date]]-WEEKDAY(Runhours_Table[[#This Row],[Date]]-1)+4),1,1)-MOD((DATE(YEAR(Runhours_Table[[#This Row],[Date]]-WEEKDAY(Runhours_Table[[#This Row],[Date]]-1)+4),1,1)-2),7)+(7*IF(MOD((DATE(YEAR(Runhours_Table[[#This Row],[Date]]-WEEKDAY(Runhours_Table[[#This Row],[Date]]-1)+4),1,1)-2),7)&gt;3,1,0))+7)</f>
        <v>2024</v>
      </c>
      <c r="E134" s="164">
        <f>_xlfn.ISOWEEKNUM(Runhours_Table[[#This Row],[Date]])</f>
        <v>52</v>
      </c>
      <c r="F134" s="160" t="str">
        <f>RIGHT(YEAR(Runhours_Table[[#This Row],[Date]]),2)&amp;TEXT(_xlfn.ISOWEEKNUM(Runhours_Table[[#This Row],[Date]]),"00")</f>
        <v>2452</v>
      </c>
      <c r="G134" s="38">
        <v>14.9</v>
      </c>
      <c r="H134" s="38">
        <v>18</v>
      </c>
      <c r="I134" s="38">
        <f ca="1">_xlfn.ISOWEEKNUM(Runhours_Table[[#This Row],[Date]])+52*(Runhours_Table[[#This Row],[Year]]-YEAR(DATE(YEAR(TODAY()-WEEKDAY(TODAY()-1)+4),1,1)-MOD((DATE(YEAR(TODAY()-WEEKDAY(TODAY()-1)+4),1,1)-2),7)+(7*IF(MOD((DATE(YEAR(TODAY()-WEEKDAY(TODAY()-1)+4),1,1)-2),7)&gt;3,1,0))+7) )-_xlfn.ISOWEEKNUM(NOW())</f>
        <v>-37</v>
      </c>
      <c r="J134" s="345"/>
    </row>
    <row r="135" spans="1:10">
      <c r="A135" s="6" t="s">
        <v>7</v>
      </c>
      <c r="B135" s="6" t="str">
        <f>VLOOKUP(A135,Fleet[],2,FALSE)</f>
        <v>Intel</v>
      </c>
      <c r="C135" s="160">
        <v>45651</v>
      </c>
      <c r="D135" s="346">
        <f>YEAR(DATE(YEAR(Runhours_Table[[#This Row],[Date]]-WEEKDAY(Runhours_Table[[#This Row],[Date]]-1)+4),1,1)-MOD((DATE(YEAR(Runhours_Table[[#This Row],[Date]]-WEEKDAY(Runhours_Table[[#This Row],[Date]]-1)+4),1,1)-2),7)+(7*IF(MOD((DATE(YEAR(Runhours_Table[[#This Row],[Date]]-WEEKDAY(Runhours_Table[[#This Row],[Date]]-1)+4),1,1)-2),7)&gt;3,1,0))+7)</f>
        <v>2024</v>
      </c>
      <c r="E135" s="164">
        <f>_xlfn.ISOWEEKNUM(Runhours_Table[[#This Row],[Date]])</f>
        <v>52</v>
      </c>
      <c r="F135" s="160" t="str">
        <f>RIGHT(YEAR(Runhours_Table[[#This Row],[Date]]),2)&amp;TEXT(_xlfn.ISOWEEKNUM(Runhours_Table[[#This Row],[Date]]),"00")</f>
        <v>2452</v>
      </c>
      <c r="G135" s="38">
        <v>22</v>
      </c>
      <c r="H135" s="38">
        <v>24</v>
      </c>
      <c r="I135" s="38">
        <f ca="1">_xlfn.ISOWEEKNUM(Runhours_Table[[#This Row],[Date]])+52*(Runhours_Table[[#This Row],[Year]]-YEAR(DATE(YEAR(TODAY()-WEEKDAY(TODAY()-1)+4),1,1)-MOD((DATE(YEAR(TODAY()-WEEKDAY(TODAY()-1)+4),1,1)-2),7)+(7*IF(MOD((DATE(YEAR(TODAY()-WEEKDAY(TODAY()-1)+4),1,1)-2),7)&gt;3,1,0))+7) )-_xlfn.ISOWEEKNUM(NOW())</f>
        <v>-37</v>
      </c>
      <c r="J135" s="345"/>
    </row>
    <row r="136" spans="1:10">
      <c r="A136" s="6" t="s">
        <v>4</v>
      </c>
      <c r="B136" s="6" t="str">
        <f>VLOOKUP(A136,Fleet[],2,FALSE)</f>
        <v>Intel</v>
      </c>
      <c r="C136" s="160">
        <v>45652</v>
      </c>
      <c r="D136" s="346">
        <f>YEAR(DATE(YEAR(Runhours_Table[[#This Row],[Date]]-WEEKDAY(Runhours_Table[[#This Row],[Date]]-1)+4),1,1)-MOD((DATE(YEAR(Runhours_Table[[#This Row],[Date]]-WEEKDAY(Runhours_Table[[#This Row],[Date]]-1)+4),1,1)-2),7)+(7*IF(MOD((DATE(YEAR(Runhours_Table[[#This Row],[Date]]-WEEKDAY(Runhours_Table[[#This Row],[Date]]-1)+4),1,1)-2),7)&gt;3,1,0))+7)</f>
        <v>2024</v>
      </c>
      <c r="E136" s="164">
        <f>_xlfn.ISOWEEKNUM(Runhours_Table[[#This Row],[Date]])</f>
        <v>52</v>
      </c>
      <c r="F136" s="160" t="str">
        <f>RIGHT(YEAR(Runhours_Table[[#This Row],[Date]]),2)&amp;TEXT(_xlfn.ISOWEEKNUM(Runhours_Table[[#This Row],[Date]]),"00")</f>
        <v>2452</v>
      </c>
      <c r="G136" s="38">
        <v>5.9</v>
      </c>
      <c r="H136" s="38">
        <v>16</v>
      </c>
      <c r="I136" s="38">
        <f ca="1">_xlfn.ISOWEEKNUM(Runhours_Table[[#This Row],[Date]])+52*(Runhours_Table[[#This Row],[Year]]-YEAR(DATE(YEAR(TODAY()-WEEKDAY(TODAY()-1)+4),1,1)-MOD((DATE(YEAR(TODAY()-WEEKDAY(TODAY()-1)+4),1,1)-2),7)+(7*IF(MOD((DATE(YEAR(TODAY()-WEEKDAY(TODAY()-1)+4),1,1)-2),7)&gt;3,1,0))+7) )-_xlfn.ISOWEEKNUM(NOW())</f>
        <v>-37</v>
      </c>
      <c r="J136" s="345"/>
    </row>
    <row r="137" spans="1:10">
      <c r="A137" s="6" t="s">
        <v>7</v>
      </c>
      <c r="B137" s="6" t="str">
        <f>VLOOKUP(A137,Fleet[],2,FALSE)</f>
        <v>Intel</v>
      </c>
      <c r="C137" s="160">
        <v>45652</v>
      </c>
      <c r="D137" s="346">
        <f>YEAR(DATE(YEAR(Runhours_Table[[#This Row],[Date]]-WEEKDAY(Runhours_Table[[#This Row],[Date]]-1)+4),1,1)-MOD((DATE(YEAR(Runhours_Table[[#This Row],[Date]]-WEEKDAY(Runhours_Table[[#This Row],[Date]]-1)+4),1,1)-2),7)+(7*IF(MOD((DATE(YEAR(Runhours_Table[[#This Row],[Date]]-WEEKDAY(Runhours_Table[[#This Row],[Date]]-1)+4),1,1)-2),7)&gt;3,1,0))+7)</f>
        <v>2024</v>
      </c>
      <c r="E137" s="164">
        <f>_xlfn.ISOWEEKNUM(Runhours_Table[[#This Row],[Date]])</f>
        <v>52</v>
      </c>
      <c r="F137" s="160" t="str">
        <f>RIGHT(YEAR(Runhours_Table[[#This Row],[Date]]),2)&amp;TEXT(_xlfn.ISOWEEKNUM(Runhours_Table[[#This Row],[Date]]),"00")</f>
        <v>2452</v>
      </c>
      <c r="G137" s="38">
        <v>20.2</v>
      </c>
      <c r="H137" s="38">
        <v>23</v>
      </c>
      <c r="I137" s="38">
        <f ca="1">_xlfn.ISOWEEKNUM(Runhours_Table[[#This Row],[Date]])+52*(Runhours_Table[[#This Row],[Year]]-YEAR(DATE(YEAR(TODAY()-WEEKDAY(TODAY()-1)+4),1,1)-MOD((DATE(YEAR(TODAY()-WEEKDAY(TODAY()-1)+4),1,1)-2),7)+(7*IF(MOD((DATE(YEAR(TODAY()-WEEKDAY(TODAY()-1)+4),1,1)-2),7)&gt;3,1,0))+7) )-_xlfn.ISOWEEKNUM(NOW())</f>
        <v>-37</v>
      </c>
      <c r="J137" s="345"/>
    </row>
    <row r="138" spans="1:10">
      <c r="A138" s="6" t="s">
        <v>4</v>
      </c>
      <c r="B138" s="6" t="str">
        <f>VLOOKUP(A138,Fleet[],2,FALSE)</f>
        <v>Intel</v>
      </c>
      <c r="C138" s="160">
        <v>45653</v>
      </c>
      <c r="D138" s="346">
        <f>YEAR(DATE(YEAR(Runhours_Table[[#This Row],[Date]]-WEEKDAY(Runhours_Table[[#This Row],[Date]]-1)+4),1,1)-MOD((DATE(YEAR(Runhours_Table[[#This Row],[Date]]-WEEKDAY(Runhours_Table[[#This Row],[Date]]-1)+4),1,1)-2),7)+(7*IF(MOD((DATE(YEAR(Runhours_Table[[#This Row],[Date]]-WEEKDAY(Runhours_Table[[#This Row],[Date]]-1)+4),1,1)-2),7)&gt;3,1,0))+7)</f>
        <v>2024</v>
      </c>
      <c r="E138" s="164">
        <f>_xlfn.ISOWEEKNUM(Runhours_Table[[#This Row],[Date]])</f>
        <v>52</v>
      </c>
      <c r="F138" s="160" t="str">
        <f>RIGHT(YEAR(Runhours_Table[[#This Row],[Date]]),2)&amp;TEXT(_xlfn.ISOWEEKNUM(Runhours_Table[[#This Row],[Date]]),"00")</f>
        <v>2452</v>
      </c>
      <c r="G138" s="38">
        <v>6.1</v>
      </c>
      <c r="H138" s="38">
        <v>18</v>
      </c>
      <c r="I138" s="38">
        <f ca="1">_xlfn.ISOWEEKNUM(Runhours_Table[[#This Row],[Date]])+52*(Runhours_Table[[#This Row],[Year]]-YEAR(DATE(YEAR(TODAY()-WEEKDAY(TODAY()-1)+4),1,1)-MOD((DATE(YEAR(TODAY()-WEEKDAY(TODAY()-1)+4),1,1)-2),7)+(7*IF(MOD((DATE(YEAR(TODAY()-WEEKDAY(TODAY()-1)+4),1,1)-2),7)&gt;3,1,0))+7) )-_xlfn.ISOWEEKNUM(NOW())</f>
        <v>-37</v>
      </c>
      <c r="J138" s="345"/>
    </row>
    <row r="139" spans="1:10">
      <c r="A139" s="6" t="s">
        <v>7</v>
      </c>
      <c r="B139" s="6" t="str">
        <f>VLOOKUP(A139,Fleet[],2,FALSE)</f>
        <v>Intel</v>
      </c>
      <c r="C139" s="160">
        <v>45653</v>
      </c>
      <c r="D139" s="346">
        <f>YEAR(DATE(YEAR(Runhours_Table[[#This Row],[Date]]-WEEKDAY(Runhours_Table[[#This Row],[Date]]-1)+4),1,1)-MOD((DATE(YEAR(Runhours_Table[[#This Row],[Date]]-WEEKDAY(Runhours_Table[[#This Row],[Date]]-1)+4),1,1)-2),7)+(7*IF(MOD((DATE(YEAR(Runhours_Table[[#This Row],[Date]]-WEEKDAY(Runhours_Table[[#This Row],[Date]]-1)+4),1,1)-2),7)&gt;3,1,0))+7)</f>
        <v>2024</v>
      </c>
      <c r="E139" s="164">
        <f>_xlfn.ISOWEEKNUM(Runhours_Table[[#This Row],[Date]])</f>
        <v>52</v>
      </c>
      <c r="F139" s="160" t="str">
        <f>RIGHT(YEAR(Runhours_Table[[#This Row],[Date]]),2)&amp;TEXT(_xlfn.ISOWEEKNUM(Runhours_Table[[#This Row],[Date]]),"00")</f>
        <v>2452</v>
      </c>
      <c r="G139" s="38">
        <v>0.4</v>
      </c>
      <c r="H139" s="38">
        <v>4</v>
      </c>
      <c r="I139" s="38">
        <f ca="1">_xlfn.ISOWEEKNUM(Runhours_Table[[#This Row],[Date]])+52*(Runhours_Table[[#This Row],[Year]]-YEAR(DATE(YEAR(TODAY()-WEEKDAY(TODAY()-1)+4),1,1)-MOD((DATE(YEAR(TODAY()-WEEKDAY(TODAY()-1)+4),1,1)-2),7)+(7*IF(MOD((DATE(YEAR(TODAY()-WEEKDAY(TODAY()-1)+4),1,1)-2),7)&gt;3,1,0))+7) )-_xlfn.ISOWEEKNUM(NOW())</f>
        <v>-37</v>
      </c>
      <c r="J139" s="345"/>
    </row>
    <row r="140" spans="1:10">
      <c r="A140" s="6" t="s">
        <v>4</v>
      </c>
      <c r="B140" s="6" t="str">
        <f>VLOOKUP(A140,Fleet[],2,FALSE)</f>
        <v>Intel</v>
      </c>
      <c r="C140" s="160">
        <v>45654</v>
      </c>
      <c r="D140" s="346">
        <f>YEAR(DATE(YEAR(Runhours_Table[[#This Row],[Date]]-WEEKDAY(Runhours_Table[[#This Row],[Date]]-1)+4),1,1)-MOD((DATE(YEAR(Runhours_Table[[#This Row],[Date]]-WEEKDAY(Runhours_Table[[#This Row],[Date]]-1)+4),1,1)-2),7)+(7*IF(MOD((DATE(YEAR(Runhours_Table[[#This Row],[Date]]-WEEKDAY(Runhours_Table[[#This Row],[Date]]-1)+4),1,1)-2),7)&gt;3,1,0))+7)</f>
        <v>2024</v>
      </c>
      <c r="E140" s="164">
        <f>_xlfn.ISOWEEKNUM(Runhours_Table[[#This Row],[Date]])</f>
        <v>52</v>
      </c>
      <c r="F140" s="160" t="str">
        <f>RIGHT(YEAR(Runhours_Table[[#This Row],[Date]]),2)&amp;TEXT(_xlfn.ISOWEEKNUM(Runhours_Table[[#This Row],[Date]]),"00")</f>
        <v>2452</v>
      </c>
      <c r="G140" s="38">
        <v>4.8</v>
      </c>
      <c r="H140" s="38">
        <v>22</v>
      </c>
      <c r="I140" s="38">
        <f ca="1">_xlfn.ISOWEEKNUM(Runhours_Table[[#This Row],[Date]])+52*(Runhours_Table[[#This Row],[Year]]-YEAR(DATE(YEAR(TODAY()-WEEKDAY(TODAY()-1)+4),1,1)-MOD((DATE(YEAR(TODAY()-WEEKDAY(TODAY()-1)+4),1,1)-2),7)+(7*IF(MOD((DATE(YEAR(TODAY()-WEEKDAY(TODAY()-1)+4),1,1)-2),7)&gt;3,1,0))+7) )-_xlfn.ISOWEEKNUM(NOW())</f>
        <v>-37</v>
      </c>
      <c r="J140" s="345"/>
    </row>
    <row r="141" spans="1:10">
      <c r="A141" s="6" t="s">
        <v>7</v>
      </c>
      <c r="B141" s="6" t="str">
        <f>VLOOKUP(A141,Fleet[],2,FALSE)</f>
        <v>Intel</v>
      </c>
      <c r="C141" s="160">
        <v>45654</v>
      </c>
      <c r="D141" s="346">
        <f>YEAR(DATE(YEAR(Runhours_Table[[#This Row],[Date]]-WEEKDAY(Runhours_Table[[#This Row],[Date]]-1)+4),1,1)-MOD((DATE(YEAR(Runhours_Table[[#This Row],[Date]]-WEEKDAY(Runhours_Table[[#This Row],[Date]]-1)+4),1,1)-2),7)+(7*IF(MOD((DATE(YEAR(Runhours_Table[[#This Row],[Date]]-WEEKDAY(Runhours_Table[[#This Row],[Date]]-1)+4),1,1)-2),7)&gt;3,1,0))+7)</f>
        <v>2024</v>
      </c>
      <c r="E141" s="164">
        <f>_xlfn.ISOWEEKNUM(Runhours_Table[[#This Row],[Date]])</f>
        <v>52</v>
      </c>
      <c r="F141" s="160" t="str">
        <f>RIGHT(YEAR(Runhours_Table[[#This Row],[Date]]),2)&amp;TEXT(_xlfn.ISOWEEKNUM(Runhours_Table[[#This Row],[Date]]),"00")</f>
        <v>2452</v>
      </c>
      <c r="G141" s="38">
        <v>6.4</v>
      </c>
      <c r="H141" s="38">
        <v>11</v>
      </c>
      <c r="I141" s="38">
        <f ca="1">_xlfn.ISOWEEKNUM(Runhours_Table[[#This Row],[Date]])+52*(Runhours_Table[[#This Row],[Year]]-YEAR(DATE(YEAR(TODAY()-WEEKDAY(TODAY()-1)+4),1,1)-MOD((DATE(YEAR(TODAY()-WEEKDAY(TODAY()-1)+4),1,1)-2),7)+(7*IF(MOD((DATE(YEAR(TODAY()-WEEKDAY(TODAY()-1)+4),1,1)-2),7)&gt;3,1,0))+7) )-_xlfn.ISOWEEKNUM(NOW())</f>
        <v>-37</v>
      </c>
      <c r="J141" s="345"/>
    </row>
    <row r="142" spans="1:10">
      <c r="A142" s="6" t="s">
        <v>4</v>
      </c>
      <c r="B142" s="6" t="str">
        <f>VLOOKUP(A142,Fleet[],2,FALSE)</f>
        <v>Intel</v>
      </c>
      <c r="C142" s="160">
        <v>45655</v>
      </c>
      <c r="D142" s="346">
        <f>YEAR(DATE(YEAR(Runhours_Table[[#This Row],[Date]]-WEEKDAY(Runhours_Table[[#This Row],[Date]]-1)+4),1,1)-MOD((DATE(YEAR(Runhours_Table[[#This Row],[Date]]-WEEKDAY(Runhours_Table[[#This Row],[Date]]-1)+4),1,1)-2),7)+(7*IF(MOD((DATE(YEAR(Runhours_Table[[#This Row],[Date]]-WEEKDAY(Runhours_Table[[#This Row],[Date]]-1)+4),1,1)-2),7)&gt;3,1,0))+7)</f>
        <v>2024</v>
      </c>
      <c r="E142" s="164">
        <f>_xlfn.ISOWEEKNUM(Runhours_Table[[#This Row],[Date]])</f>
        <v>52</v>
      </c>
      <c r="F142" s="160" t="str">
        <f>RIGHT(YEAR(Runhours_Table[[#This Row],[Date]]),2)&amp;TEXT(_xlfn.ISOWEEKNUM(Runhours_Table[[#This Row],[Date]]),"00")</f>
        <v>2452</v>
      </c>
      <c r="G142" s="38">
        <v>9.4</v>
      </c>
      <c r="H142" s="38">
        <v>21</v>
      </c>
      <c r="I142" s="38">
        <f ca="1">_xlfn.ISOWEEKNUM(Runhours_Table[[#This Row],[Date]])+52*(Runhours_Table[[#This Row],[Year]]-YEAR(DATE(YEAR(TODAY()-WEEKDAY(TODAY()-1)+4),1,1)-MOD((DATE(YEAR(TODAY()-WEEKDAY(TODAY()-1)+4),1,1)-2),7)+(7*IF(MOD((DATE(YEAR(TODAY()-WEEKDAY(TODAY()-1)+4),1,1)-2),7)&gt;3,1,0))+7) )-_xlfn.ISOWEEKNUM(NOW())</f>
        <v>-37</v>
      </c>
      <c r="J142" s="345"/>
    </row>
    <row r="143" spans="1:10">
      <c r="A143" s="6" t="s">
        <v>7</v>
      </c>
      <c r="B143" s="6" t="str">
        <f>VLOOKUP(A143,Fleet[],2,FALSE)</f>
        <v>Intel</v>
      </c>
      <c r="C143" s="160">
        <v>45655</v>
      </c>
      <c r="D143" s="346">
        <f>YEAR(DATE(YEAR(Runhours_Table[[#This Row],[Date]]-WEEKDAY(Runhours_Table[[#This Row],[Date]]-1)+4),1,1)-MOD((DATE(YEAR(Runhours_Table[[#This Row],[Date]]-WEEKDAY(Runhours_Table[[#This Row],[Date]]-1)+4),1,1)-2),7)+(7*IF(MOD((DATE(YEAR(Runhours_Table[[#This Row],[Date]]-WEEKDAY(Runhours_Table[[#This Row],[Date]]-1)+4),1,1)-2),7)&gt;3,1,0))+7)</f>
        <v>2024</v>
      </c>
      <c r="E143" s="164">
        <f>_xlfn.ISOWEEKNUM(Runhours_Table[[#This Row],[Date]])</f>
        <v>52</v>
      </c>
      <c r="F143" s="160" t="str">
        <f>RIGHT(YEAR(Runhours_Table[[#This Row],[Date]]),2)&amp;TEXT(_xlfn.ISOWEEKNUM(Runhours_Table[[#This Row],[Date]]),"00")</f>
        <v>2452</v>
      </c>
      <c r="G143" s="38">
        <v>17.3</v>
      </c>
      <c r="H143" s="38">
        <v>21</v>
      </c>
      <c r="I143" s="38">
        <f ca="1">_xlfn.ISOWEEKNUM(Runhours_Table[[#This Row],[Date]])+52*(Runhours_Table[[#This Row],[Year]]-YEAR(DATE(YEAR(TODAY()-WEEKDAY(TODAY()-1)+4),1,1)-MOD((DATE(YEAR(TODAY()-WEEKDAY(TODAY()-1)+4),1,1)-2),7)+(7*IF(MOD((DATE(YEAR(TODAY()-WEEKDAY(TODAY()-1)+4),1,1)-2),7)&gt;3,1,0))+7) )-_xlfn.ISOWEEKNUM(NOW())</f>
        <v>-37</v>
      </c>
      <c r="J143" s="345"/>
    </row>
    <row r="144" spans="1:10">
      <c r="A144" s="6" t="s">
        <v>4</v>
      </c>
      <c r="B144" s="6" t="str">
        <f>VLOOKUP(A144,Fleet[],2,FALSE)</f>
        <v>Intel</v>
      </c>
      <c r="C144" s="160">
        <v>45656</v>
      </c>
      <c r="D144" s="346">
        <f>YEAR(DATE(YEAR(Runhours_Table[[#This Row],[Date]]-WEEKDAY(Runhours_Table[[#This Row],[Date]]-1)+4),1,1)-MOD((DATE(YEAR(Runhours_Table[[#This Row],[Date]]-WEEKDAY(Runhours_Table[[#This Row],[Date]]-1)+4),1,1)-2),7)+(7*IF(MOD((DATE(YEAR(Runhours_Table[[#This Row],[Date]]-WEEKDAY(Runhours_Table[[#This Row],[Date]]-1)+4),1,1)-2),7)&gt;3,1,0))+7)</f>
        <v>2025</v>
      </c>
      <c r="E144" s="164">
        <f>_xlfn.ISOWEEKNUM(Runhours_Table[[#This Row],[Date]])</f>
        <v>1</v>
      </c>
      <c r="F144" s="160" t="str">
        <f>RIGHT(YEAR(Runhours_Table[[#This Row],[Date]]),2)&amp;TEXT(_xlfn.ISOWEEKNUM(Runhours_Table[[#This Row],[Date]]),"00")</f>
        <v>2401</v>
      </c>
      <c r="G144" s="38">
        <v>4.5</v>
      </c>
      <c r="H144" s="38">
        <v>8</v>
      </c>
      <c r="I144" s="38">
        <f ca="1">_xlfn.ISOWEEKNUM(Runhours_Table[[#This Row],[Date]])+52*(Runhours_Table[[#This Row],[Year]]-YEAR(DATE(YEAR(TODAY()-WEEKDAY(TODAY()-1)+4),1,1)-MOD((DATE(YEAR(TODAY()-WEEKDAY(TODAY()-1)+4),1,1)-2),7)+(7*IF(MOD((DATE(YEAR(TODAY()-WEEKDAY(TODAY()-1)+4),1,1)-2),7)&gt;3,1,0))+7) )-_xlfn.ISOWEEKNUM(NOW())</f>
        <v>-36</v>
      </c>
      <c r="J144" s="345"/>
    </row>
    <row r="145" spans="1:10">
      <c r="A145" s="6" t="s">
        <v>7</v>
      </c>
      <c r="B145" s="6" t="str">
        <f>VLOOKUP(A145,Fleet[],2,FALSE)</f>
        <v>Intel</v>
      </c>
      <c r="C145" s="160">
        <v>45656</v>
      </c>
      <c r="D145" s="346">
        <f>YEAR(DATE(YEAR(Runhours_Table[[#This Row],[Date]]-WEEKDAY(Runhours_Table[[#This Row],[Date]]-1)+4),1,1)-MOD((DATE(YEAR(Runhours_Table[[#This Row],[Date]]-WEEKDAY(Runhours_Table[[#This Row],[Date]]-1)+4),1,1)-2),7)+(7*IF(MOD((DATE(YEAR(Runhours_Table[[#This Row],[Date]]-WEEKDAY(Runhours_Table[[#This Row],[Date]]-1)+4),1,1)-2),7)&gt;3,1,0))+7)</f>
        <v>2025</v>
      </c>
      <c r="E145" s="164">
        <f>_xlfn.ISOWEEKNUM(Runhours_Table[[#This Row],[Date]])</f>
        <v>1</v>
      </c>
      <c r="F145" s="160" t="str">
        <f>RIGHT(YEAR(Runhours_Table[[#This Row],[Date]]),2)&amp;TEXT(_xlfn.ISOWEEKNUM(Runhours_Table[[#This Row],[Date]]),"00")</f>
        <v>2401</v>
      </c>
      <c r="G145" s="38">
        <v>11</v>
      </c>
      <c r="H145" s="38">
        <v>18</v>
      </c>
      <c r="I145" s="38">
        <f ca="1">_xlfn.ISOWEEKNUM(Runhours_Table[[#This Row],[Date]])+52*(Runhours_Table[[#This Row],[Year]]-YEAR(DATE(YEAR(TODAY()-WEEKDAY(TODAY()-1)+4),1,1)-MOD((DATE(YEAR(TODAY()-WEEKDAY(TODAY()-1)+4),1,1)-2),7)+(7*IF(MOD((DATE(YEAR(TODAY()-WEEKDAY(TODAY()-1)+4),1,1)-2),7)&gt;3,1,0))+7) )-_xlfn.ISOWEEKNUM(NOW())</f>
        <v>-36</v>
      </c>
      <c r="J145" s="345"/>
    </row>
    <row r="146" spans="1:10">
      <c r="A146" s="6" t="s">
        <v>4</v>
      </c>
      <c r="B146" s="6" t="str">
        <f>VLOOKUP(A146,Fleet[],2,FALSE)</f>
        <v>Intel</v>
      </c>
      <c r="C146" s="160">
        <v>45657</v>
      </c>
      <c r="D146" s="346">
        <f>YEAR(DATE(YEAR(Runhours_Table[[#This Row],[Date]]-WEEKDAY(Runhours_Table[[#This Row],[Date]]-1)+4),1,1)-MOD((DATE(YEAR(Runhours_Table[[#This Row],[Date]]-WEEKDAY(Runhours_Table[[#This Row],[Date]]-1)+4),1,1)-2),7)+(7*IF(MOD((DATE(YEAR(Runhours_Table[[#This Row],[Date]]-WEEKDAY(Runhours_Table[[#This Row],[Date]]-1)+4),1,1)-2),7)&gt;3,1,0))+7)</f>
        <v>2025</v>
      </c>
      <c r="E146" s="164">
        <f>_xlfn.ISOWEEKNUM(Runhours_Table[[#This Row],[Date]])</f>
        <v>1</v>
      </c>
      <c r="F146" s="160" t="str">
        <f>RIGHT(YEAR(Runhours_Table[[#This Row],[Date]]),2)&amp;TEXT(_xlfn.ISOWEEKNUM(Runhours_Table[[#This Row],[Date]]),"00")</f>
        <v>2401</v>
      </c>
      <c r="G146" s="38">
        <v>6.3</v>
      </c>
      <c r="H146" s="38">
        <v>15</v>
      </c>
      <c r="I146" s="38">
        <f ca="1">_xlfn.ISOWEEKNUM(Runhours_Table[[#This Row],[Date]])+52*(Runhours_Table[[#This Row],[Year]]-YEAR(DATE(YEAR(TODAY()-WEEKDAY(TODAY()-1)+4),1,1)-MOD((DATE(YEAR(TODAY()-WEEKDAY(TODAY()-1)+4),1,1)-2),7)+(7*IF(MOD((DATE(YEAR(TODAY()-WEEKDAY(TODAY()-1)+4),1,1)-2),7)&gt;3,1,0))+7) )-_xlfn.ISOWEEKNUM(NOW())</f>
        <v>-36</v>
      </c>
      <c r="J146" s="345"/>
    </row>
    <row r="147" spans="1:10">
      <c r="A147" s="6" t="s">
        <v>7</v>
      </c>
      <c r="B147" s="6" t="str">
        <f>VLOOKUP(A147,Fleet[],2,FALSE)</f>
        <v>Intel</v>
      </c>
      <c r="C147" s="160">
        <v>45657</v>
      </c>
      <c r="D147" s="346">
        <f>YEAR(DATE(YEAR(Runhours_Table[[#This Row],[Date]]-WEEKDAY(Runhours_Table[[#This Row],[Date]]-1)+4),1,1)-MOD((DATE(YEAR(Runhours_Table[[#This Row],[Date]]-WEEKDAY(Runhours_Table[[#This Row],[Date]]-1)+4),1,1)-2),7)+(7*IF(MOD((DATE(YEAR(Runhours_Table[[#This Row],[Date]]-WEEKDAY(Runhours_Table[[#This Row],[Date]]-1)+4),1,1)-2),7)&gt;3,1,0))+7)</f>
        <v>2025</v>
      </c>
      <c r="E147" s="164">
        <f>_xlfn.ISOWEEKNUM(Runhours_Table[[#This Row],[Date]])</f>
        <v>1</v>
      </c>
      <c r="F147" s="160" t="str">
        <f>RIGHT(YEAR(Runhours_Table[[#This Row],[Date]]),2)&amp;TEXT(_xlfn.ISOWEEKNUM(Runhours_Table[[#This Row],[Date]]),"00")</f>
        <v>2401</v>
      </c>
      <c r="G147" s="38">
        <v>9.5</v>
      </c>
      <c r="H147" s="38">
        <v>13</v>
      </c>
      <c r="I147" s="38">
        <f ca="1">_xlfn.ISOWEEKNUM(Runhours_Table[[#This Row],[Date]])+52*(Runhours_Table[[#This Row],[Year]]-YEAR(DATE(YEAR(TODAY()-WEEKDAY(TODAY()-1)+4),1,1)-MOD((DATE(YEAR(TODAY()-WEEKDAY(TODAY()-1)+4),1,1)-2),7)+(7*IF(MOD((DATE(YEAR(TODAY()-WEEKDAY(TODAY()-1)+4),1,1)-2),7)&gt;3,1,0))+7) )-_xlfn.ISOWEEKNUM(NOW())</f>
        <v>-36</v>
      </c>
      <c r="J147" s="345"/>
    </row>
    <row r="148" spans="1:10">
      <c r="A148" s="6" t="s">
        <v>4</v>
      </c>
      <c r="B148" s="6" t="str">
        <f>VLOOKUP(A148,Fleet[],2,FALSE)</f>
        <v>Intel</v>
      </c>
      <c r="C148" s="160">
        <v>45658</v>
      </c>
      <c r="D148" s="346">
        <f>YEAR(DATE(YEAR(Runhours_Table[[#This Row],[Date]]-WEEKDAY(Runhours_Table[[#This Row],[Date]]-1)+4),1,1)-MOD((DATE(YEAR(Runhours_Table[[#This Row],[Date]]-WEEKDAY(Runhours_Table[[#This Row],[Date]]-1)+4),1,1)-2),7)+(7*IF(MOD((DATE(YEAR(Runhours_Table[[#This Row],[Date]]-WEEKDAY(Runhours_Table[[#This Row],[Date]]-1)+4),1,1)-2),7)&gt;3,1,0))+7)</f>
        <v>2025</v>
      </c>
      <c r="E148" s="164">
        <f>_xlfn.ISOWEEKNUM(Runhours_Table[[#This Row],[Date]])</f>
        <v>1</v>
      </c>
      <c r="F148" s="160" t="str">
        <f>RIGHT(YEAR(Runhours_Table[[#This Row],[Date]]),2)&amp;TEXT(_xlfn.ISOWEEKNUM(Runhours_Table[[#This Row],[Date]]),"00")</f>
        <v>2501</v>
      </c>
      <c r="G148" s="38">
        <v>16.100000000000001</v>
      </c>
      <c r="H148" s="38">
        <v>22</v>
      </c>
      <c r="I148" s="38">
        <f ca="1">_xlfn.ISOWEEKNUM(Runhours_Table[[#This Row],[Date]])+52*(Runhours_Table[[#This Row],[Year]]-YEAR(DATE(YEAR(TODAY()-WEEKDAY(TODAY()-1)+4),1,1)-MOD((DATE(YEAR(TODAY()-WEEKDAY(TODAY()-1)+4),1,1)-2),7)+(7*IF(MOD((DATE(YEAR(TODAY()-WEEKDAY(TODAY()-1)+4),1,1)-2),7)&gt;3,1,0))+7) )-_xlfn.ISOWEEKNUM(NOW())</f>
        <v>-36</v>
      </c>
      <c r="J148" s="345"/>
    </row>
    <row r="149" spans="1:10">
      <c r="A149" s="6" t="s">
        <v>7</v>
      </c>
      <c r="B149" s="6" t="str">
        <f>VLOOKUP(A149,Fleet[],2,FALSE)</f>
        <v>Intel</v>
      </c>
      <c r="C149" s="160">
        <v>45658</v>
      </c>
      <c r="D149" s="346">
        <f>YEAR(DATE(YEAR(Runhours_Table[[#This Row],[Date]]-WEEKDAY(Runhours_Table[[#This Row],[Date]]-1)+4),1,1)-MOD((DATE(YEAR(Runhours_Table[[#This Row],[Date]]-WEEKDAY(Runhours_Table[[#This Row],[Date]]-1)+4),1,1)-2),7)+(7*IF(MOD((DATE(YEAR(Runhours_Table[[#This Row],[Date]]-WEEKDAY(Runhours_Table[[#This Row],[Date]]-1)+4),1,1)-2),7)&gt;3,1,0))+7)</f>
        <v>2025</v>
      </c>
      <c r="E149" s="164">
        <f>_xlfn.ISOWEEKNUM(Runhours_Table[[#This Row],[Date]])</f>
        <v>1</v>
      </c>
      <c r="F149" s="160" t="str">
        <f>RIGHT(YEAR(Runhours_Table[[#This Row],[Date]]),2)&amp;TEXT(_xlfn.ISOWEEKNUM(Runhours_Table[[#This Row],[Date]]),"00")</f>
        <v>2501</v>
      </c>
      <c r="G149" s="38">
        <v>7.1</v>
      </c>
      <c r="H149" s="38">
        <v>17</v>
      </c>
      <c r="I149" s="38">
        <f ca="1">_xlfn.ISOWEEKNUM(Runhours_Table[[#This Row],[Date]])+52*(Runhours_Table[[#This Row],[Year]]-YEAR(DATE(YEAR(TODAY()-WEEKDAY(TODAY()-1)+4),1,1)-MOD((DATE(YEAR(TODAY()-WEEKDAY(TODAY()-1)+4),1,1)-2),7)+(7*IF(MOD((DATE(YEAR(TODAY()-WEEKDAY(TODAY()-1)+4),1,1)-2),7)&gt;3,1,0))+7) )-_xlfn.ISOWEEKNUM(NOW())</f>
        <v>-36</v>
      </c>
      <c r="J149" s="345"/>
    </row>
    <row r="150" spans="1:10">
      <c r="A150" s="6" t="s">
        <v>4</v>
      </c>
      <c r="B150" s="6" t="str">
        <f>VLOOKUP(A150,Fleet[],2,FALSE)</f>
        <v>Intel</v>
      </c>
      <c r="C150" s="160">
        <v>45659</v>
      </c>
      <c r="D150" s="346">
        <f>YEAR(DATE(YEAR(Runhours_Table[[#This Row],[Date]]-WEEKDAY(Runhours_Table[[#This Row],[Date]]-1)+4),1,1)-MOD((DATE(YEAR(Runhours_Table[[#This Row],[Date]]-WEEKDAY(Runhours_Table[[#This Row],[Date]]-1)+4),1,1)-2),7)+(7*IF(MOD((DATE(YEAR(Runhours_Table[[#This Row],[Date]]-WEEKDAY(Runhours_Table[[#This Row],[Date]]-1)+4),1,1)-2),7)&gt;3,1,0))+7)</f>
        <v>2025</v>
      </c>
      <c r="E150" s="164">
        <f>_xlfn.ISOWEEKNUM(Runhours_Table[[#This Row],[Date]])</f>
        <v>1</v>
      </c>
      <c r="F150" s="160" t="str">
        <f>RIGHT(YEAR(Runhours_Table[[#This Row],[Date]]),2)&amp;TEXT(_xlfn.ISOWEEKNUM(Runhours_Table[[#This Row],[Date]]),"00")</f>
        <v>2501</v>
      </c>
      <c r="G150" s="38">
        <v>5.5</v>
      </c>
      <c r="H150" s="38">
        <v>18</v>
      </c>
      <c r="I150" s="38">
        <f ca="1">_xlfn.ISOWEEKNUM(Runhours_Table[[#This Row],[Date]])+52*(Runhours_Table[[#This Row],[Year]]-YEAR(DATE(YEAR(TODAY()-WEEKDAY(TODAY()-1)+4),1,1)-MOD((DATE(YEAR(TODAY()-WEEKDAY(TODAY()-1)+4),1,1)-2),7)+(7*IF(MOD((DATE(YEAR(TODAY()-WEEKDAY(TODAY()-1)+4),1,1)-2),7)&gt;3,1,0))+7) )-_xlfn.ISOWEEKNUM(NOW())</f>
        <v>-36</v>
      </c>
      <c r="J150" s="345"/>
    </row>
    <row r="151" spans="1:10">
      <c r="A151" s="6" t="s">
        <v>7</v>
      </c>
      <c r="B151" s="6" t="str">
        <f>VLOOKUP(A151,Fleet[],2,FALSE)</f>
        <v>Intel</v>
      </c>
      <c r="C151" s="160">
        <v>45659</v>
      </c>
      <c r="D151" s="346">
        <f>YEAR(DATE(YEAR(Runhours_Table[[#This Row],[Date]]-WEEKDAY(Runhours_Table[[#This Row],[Date]]-1)+4),1,1)-MOD((DATE(YEAR(Runhours_Table[[#This Row],[Date]]-WEEKDAY(Runhours_Table[[#This Row],[Date]]-1)+4),1,1)-2),7)+(7*IF(MOD((DATE(YEAR(Runhours_Table[[#This Row],[Date]]-WEEKDAY(Runhours_Table[[#This Row],[Date]]-1)+4),1,1)-2),7)&gt;3,1,0))+7)</f>
        <v>2025</v>
      </c>
      <c r="E151" s="164">
        <f>_xlfn.ISOWEEKNUM(Runhours_Table[[#This Row],[Date]])</f>
        <v>1</v>
      </c>
      <c r="F151" s="160" t="str">
        <f>RIGHT(YEAR(Runhours_Table[[#This Row],[Date]]),2)&amp;TEXT(_xlfn.ISOWEEKNUM(Runhours_Table[[#This Row],[Date]]),"00")</f>
        <v>2501</v>
      </c>
      <c r="G151" s="38">
        <v>10.6</v>
      </c>
      <c r="H151" s="38">
        <v>20</v>
      </c>
      <c r="I151" s="38">
        <f ca="1">_xlfn.ISOWEEKNUM(Runhours_Table[[#This Row],[Date]])+52*(Runhours_Table[[#This Row],[Year]]-YEAR(DATE(YEAR(TODAY()-WEEKDAY(TODAY()-1)+4),1,1)-MOD((DATE(YEAR(TODAY()-WEEKDAY(TODAY()-1)+4),1,1)-2),7)+(7*IF(MOD((DATE(YEAR(TODAY()-WEEKDAY(TODAY()-1)+4),1,1)-2),7)&gt;3,1,0))+7) )-_xlfn.ISOWEEKNUM(NOW())</f>
        <v>-36</v>
      </c>
      <c r="J151" s="345"/>
    </row>
    <row r="152" spans="1:10">
      <c r="A152" s="6" t="s">
        <v>4</v>
      </c>
      <c r="B152" s="6" t="str">
        <f>VLOOKUP(A152,Fleet[],2,FALSE)</f>
        <v>Intel</v>
      </c>
      <c r="C152" s="160">
        <v>45660</v>
      </c>
      <c r="D152" s="346">
        <f>YEAR(DATE(YEAR(Runhours_Table[[#This Row],[Date]]-WEEKDAY(Runhours_Table[[#This Row],[Date]]-1)+4),1,1)-MOD((DATE(YEAR(Runhours_Table[[#This Row],[Date]]-WEEKDAY(Runhours_Table[[#This Row],[Date]]-1)+4),1,1)-2),7)+(7*IF(MOD((DATE(YEAR(Runhours_Table[[#This Row],[Date]]-WEEKDAY(Runhours_Table[[#This Row],[Date]]-1)+4),1,1)-2),7)&gt;3,1,0))+7)</f>
        <v>2025</v>
      </c>
      <c r="E152" s="164">
        <f>_xlfn.ISOWEEKNUM(Runhours_Table[[#This Row],[Date]])</f>
        <v>1</v>
      </c>
      <c r="F152" s="160" t="str">
        <f>RIGHT(YEAR(Runhours_Table[[#This Row],[Date]]),2)&amp;TEXT(_xlfn.ISOWEEKNUM(Runhours_Table[[#This Row],[Date]]),"00")</f>
        <v>2501</v>
      </c>
      <c r="G152" s="38">
        <v>5.4</v>
      </c>
      <c r="H152" s="38">
        <v>16</v>
      </c>
      <c r="I152" s="38">
        <f ca="1">_xlfn.ISOWEEKNUM(Runhours_Table[[#This Row],[Date]])+52*(Runhours_Table[[#This Row],[Year]]-YEAR(DATE(YEAR(TODAY()-WEEKDAY(TODAY()-1)+4),1,1)-MOD((DATE(YEAR(TODAY()-WEEKDAY(TODAY()-1)+4),1,1)-2),7)+(7*IF(MOD((DATE(YEAR(TODAY()-WEEKDAY(TODAY()-1)+4),1,1)-2),7)&gt;3,1,0))+7) )-_xlfn.ISOWEEKNUM(NOW())</f>
        <v>-36</v>
      </c>
      <c r="J152" s="345"/>
    </row>
    <row r="153" spans="1:10">
      <c r="A153" s="6" t="s">
        <v>7</v>
      </c>
      <c r="B153" s="6" t="str">
        <f>VLOOKUP(A153,Fleet[],2,FALSE)</f>
        <v>Intel</v>
      </c>
      <c r="C153" s="160">
        <v>45660</v>
      </c>
      <c r="D153" s="346">
        <f>YEAR(DATE(YEAR(Runhours_Table[[#This Row],[Date]]-WEEKDAY(Runhours_Table[[#This Row],[Date]]-1)+4),1,1)-MOD((DATE(YEAR(Runhours_Table[[#This Row],[Date]]-WEEKDAY(Runhours_Table[[#This Row],[Date]]-1)+4),1,1)-2),7)+(7*IF(MOD((DATE(YEAR(Runhours_Table[[#This Row],[Date]]-WEEKDAY(Runhours_Table[[#This Row],[Date]]-1)+4),1,1)-2),7)&gt;3,1,0))+7)</f>
        <v>2025</v>
      </c>
      <c r="E153" s="164">
        <f>_xlfn.ISOWEEKNUM(Runhours_Table[[#This Row],[Date]])</f>
        <v>1</v>
      </c>
      <c r="F153" s="160" t="str">
        <f>RIGHT(YEAR(Runhours_Table[[#This Row],[Date]]),2)&amp;TEXT(_xlfn.ISOWEEKNUM(Runhours_Table[[#This Row],[Date]]),"00")</f>
        <v>2501</v>
      </c>
      <c r="G153" s="38">
        <v>2.2999999999999998</v>
      </c>
      <c r="H153" s="38">
        <v>4</v>
      </c>
      <c r="I153" s="38">
        <f ca="1">_xlfn.ISOWEEKNUM(Runhours_Table[[#This Row],[Date]])+52*(Runhours_Table[[#This Row],[Year]]-YEAR(DATE(YEAR(TODAY()-WEEKDAY(TODAY()-1)+4),1,1)-MOD((DATE(YEAR(TODAY()-WEEKDAY(TODAY()-1)+4),1,1)-2),7)+(7*IF(MOD((DATE(YEAR(TODAY()-WEEKDAY(TODAY()-1)+4),1,1)-2),7)&gt;3,1,0))+7) )-_xlfn.ISOWEEKNUM(NOW())</f>
        <v>-36</v>
      </c>
      <c r="J153" s="345"/>
    </row>
    <row r="154" spans="1:10">
      <c r="A154" s="6" t="s">
        <v>4</v>
      </c>
      <c r="B154" s="6" t="str">
        <f>VLOOKUP(A154,Fleet[],2,FALSE)</f>
        <v>Intel</v>
      </c>
      <c r="C154" s="160">
        <v>45661</v>
      </c>
      <c r="D154" s="346">
        <f>YEAR(DATE(YEAR(Runhours_Table[[#This Row],[Date]]-WEEKDAY(Runhours_Table[[#This Row],[Date]]-1)+4),1,1)-MOD((DATE(YEAR(Runhours_Table[[#This Row],[Date]]-WEEKDAY(Runhours_Table[[#This Row],[Date]]-1)+4),1,1)-2),7)+(7*IF(MOD((DATE(YEAR(Runhours_Table[[#This Row],[Date]]-WEEKDAY(Runhours_Table[[#This Row],[Date]]-1)+4),1,1)-2),7)&gt;3,1,0))+7)</f>
        <v>2025</v>
      </c>
      <c r="E154" s="164">
        <f>_xlfn.ISOWEEKNUM(Runhours_Table[[#This Row],[Date]])</f>
        <v>1</v>
      </c>
      <c r="F154" s="160" t="str">
        <f>RIGHT(YEAR(Runhours_Table[[#This Row],[Date]]),2)&amp;TEXT(_xlfn.ISOWEEKNUM(Runhours_Table[[#This Row],[Date]]),"00")</f>
        <v>2501</v>
      </c>
      <c r="G154" s="38">
        <v>3.4</v>
      </c>
      <c r="H154" s="38">
        <v>24</v>
      </c>
      <c r="I154" s="38">
        <f ca="1">_xlfn.ISOWEEKNUM(Runhours_Table[[#This Row],[Date]])+52*(Runhours_Table[[#This Row],[Year]]-YEAR(DATE(YEAR(TODAY()-WEEKDAY(TODAY()-1)+4),1,1)-MOD((DATE(YEAR(TODAY()-WEEKDAY(TODAY()-1)+4),1,1)-2),7)+(7*IF(MOD((DATE(YEAR(TODAY()-WEEKDAY(TODAY()-1)+4),1,1)-2),7)&gt;3,1,0))+7) )-_xlfn.ISOWEEKNUM(NOW())</f>
        <v>-36</v>
      </c>
      <c r="J154" s="345"/>
    </row>
    <row r="155" spans="1:10">
      <c r="A155" s="6" t="s">
        <v>7</v>
      </c>
      <c r="B155" s="6" t="str">
        <f>VLOOKUP(A155,Fleet[],2,FALSE)</f>
        <v>Intel</v>
      </c>
      <c r="C155" s="160">
        <v>45661</v>
      </c>
      <c r="D155" s="346">
        <f>YEAR(DATE(YEAR(Runhours_Table[[#This Row],[Date]]-WEEKDAY(Runhours_Table[[#This Row],[Date]]-1)+4),1,1)-MOD((DATE(YEAR(Runhours_Table[[#This Row],[Date]]-WEEKDAY(Runhours_Table[[#This Row],[Date]]-1)+4),1,1)-2),7)+(7*IF(MOD((DATE(YEAR(Runhours_Table[[#This Row],[Date]]-WEEKDAY(Runhours_Table[[#This Row],[Date]]-1)+4),1,1)-2),7)&gt;3,1,0))+7)</f>
        <v>2025</v>
      </c>
      <c r="E155" s="164">
        <f>_xlfn.ISOWEEKNUM(Runhours_Table[[#This Row],[Date]])</f>
        <v>1</v>
      </c>
      <c r="F155" s="160" t="str">
        <f>RIGHT(YEAR(Runhours_Table[[#This Row],[Date]]),2)&amp;TEXT(_xlfn.ISOWEEKNUM(Runhours_Table[[#This Row],[Date]]),"00")</f>
        <v>2501</v>
      </c>
      <c r="G155" s="38">
        <v>12</v>
      </c>
      <c r="H155" s="38">
        <v>21</v>
      </c>
      <c r="I155" s="38">
        <f ca="1">_xlfn.ISOWEEKNUM(Runhours_Table[[#This Row],[Date]])+52*(Runhours_Table[[#This Row],[Year]]-YEAR(DATE(YEAR(TODAY()-WEEKDAY(TODAY()-1)+4),1,1)-MOD((DATE(YEAR(TODAY()-WEEKDAY(TODAY()-1)+4),1,1)-2),7)+(7*IF(MOD((DATE(YEAR(TODAY()-WEEKDAY(TODAY()-1)+4),1,1)-2),7)&gt;3,1,0))+7) )-_xlfn.ISOWEEKNUM(NOW())</f>
        <v>-36</v>
      </c>
      <c r="J155" s="345"/>
    </row>
    <row r="156" spans="1:10">
      <c r="A156" s="6" t="s">
        <v>4</v>
      </c>
      <c r="B156" s="6" t="str">
        <f>VLOOKUP(A156,Fleet[],2,FALSE)</f>
        <v>Intel</v>
      </c>
      <c r="C156" s="160">
        <v>45662</v>
      </c>
      <c r="D156" s="346">
        <f>YEAR(DATE(YEAR(Runhours_Table[[#This Row],[Date]]-WEEKDAY(Runhours_Table[[#This Row],[Date]]-1)+4),1,1)-MOD((DATE(YEAR(Runhours_Table[[#This Row],[Date]]-WEEKDAY(Runhours_Table[[#This Row],[Date]]-1)+4),1,1)-2),7)+(7*IF(MOD((DATE(YEAR(Runhours_Table[[#This Row],[Date]]-WEEKDAY(Runhours_Table[[#This Row],[Date]]-1)+4),1,1)-2),7)&gt;3,1,0))+7)</f>
        <v>2025</v>
      </c>
      <c r="E156" s="164">
        <f>_xlfn.ISOWEEKNUM(Runhours_Table[[#This Row],[Date]])</f>
        <v>1</v>
      </c>
      <c r="F156" s="160" t="str">
        <f>RIGHT(YEAR(Runhours_Table[[#This Row],[Date]]),2)&amp;TEXT(_xlfn.ISOWEEKNUM(Runhours_Table[[#This Row],[Date]]),"00")</f>
        <v>2501</v>
      </c>
      <c r="G156" s="38">
        <v>15.6</v>
      </c>
      <c r="H156" s="38">
        <v>23</v>
      </c>
      <c r="I156" s="38">
        <f ca="1">_xlfn.ISOWEEKNUM(Runhours_Table[[#This Row],[Date]])+52*(Runhours_Table[[#This Row],[Year]]-YEAR(DATE(YEAR(TODAY()-WEEKDAY(TODAY()-1)+4),1,1)-MOD((DATE(YEAR(TODAY()-WEEKDAY(TODAY()-1)+4),1,1)-2),7)+(7*IF(MOD((DATE(YEAR(TODAY()-WEEKDAY(TODAY()-1)+4),1,1)-2),7)&gt;3,1,0))+7) )-_xlfn.ISOWEEKNUM(NOW())</f>
        <v>-36</v>
      </c>
      <c r="J156" s="345"/>
    </row>
    <row r="157" spans="1:10">
      <c r="A157" s="6" t="s">
        <v>7</v>
      </c>
      <c r="B157" s="6" t="str">
        <f>VLOOKUP(A157,Fleet[],2,FALSE)</f>
        <v>Intel</v>
      </c>
      <c r="C157" s="160">
        <v>45662</v>
      </c>
      <c r="D157" s="346">
        <f>YEAR(DATE(YEAR(Runhours_Table[[#This Row],[Date]]-WEEKDAY(Runhours_Table[[#This Row],[Date]]-1)+4),1,1)-MOD((DATE(YEAR(Runhours_Table[[#This Row],[Date]]-WEEKDAY(Runhours_Table[[#This Row],[Date]]-1)+4),1,1)-2),7)+(7*IF(MOD((DATE(YEAR(Runhours_Table[[#This Row],[Date]]-WEEKDAY(Runhours_Table[[#This Row],[Date]]-1)+4),1,1)-2),7)&gt;3,1,0))+7)</f>
        <v>2025</v>
      </c>
      <c r="E157" s="164">
        <f>_xlfn.ISOWEEKNUM(Runhours_Table[[#This Row],[Date]])</f>
        <v>1</v>
      </c>
      <c r="F157" s="160" t="str">
        <f>RIGHT(YEAR(Runhours_Table[[#This Row],[Date]]),2)&amp;TEXT(_xlfn.ISOWEEKNUM(Runhours_Table[[#This Row],[Date]]),"00")</f>
        <v>2501</v>
      </c>
      <c r="G157" s="38">
        <v>3.1</v>
      </c>
      <c r="H157" s="38">
        <v>15</v>
      </c>
      <c r="I157" s="38">
        <f ca="1">_xlfn.ISOWEEKNUM(Runhours_Table[[#This Row],[Date]])+52*(Runhours_Table[[#This Row],[Year]]-YEAR(DATE(YEAR(TODAY()-WEEKDAY(TODAY()-1)+4),1,1)-MOD((DATE(YEAR(TODAY()-WEEKDAY(TODAY()-1)+4),1,1)-2),7)+(7*IF(MOD((DATE(YEAR(TODAY()-WEEKDAY(TODAY()-1)+4),1,1)-2),7)&gt;3,1,0))+7) )-_xlfn.ISOWEEKNUM(NOW())</f>
        <v>-36</v>
      </c>
      <c r="J157" s="345"/>
    </row>
    <row r="158" spans="1:10">
      <c r="A158" s="6" t="s">
        <v>4</v>
      </c>
      <c r="B158" s="6" t="str">
        <f>VLOOKUP(A158,Fleet[],2,FALSE)</f>
        <v>Intel</v>
      </c>
      <c r="C158" s="160">
        <v>45663</v>
      </c>
      <c r="D158" s="346">
        <f>YEAR(DATE(YEAR(Runhours_Table[[#This Row],[Date]]-WEEKDAY(Runhours_Table[[#This Row],[Date]]-1)+4),1,1)-MOD((DATE(YEAR(Runhours_Table[[#This Row],[Date]]-WEEKDAY(Runhours_Table[[#This Row],[Date]]-1)+4),1,1)-2),7)+(7*IF(MOD((DATE(YEAR(Runhours_Table[[#This Row],[Date]]-WEEKDAY(Runhours_Table[[#This Row],[Date]]-1)+4),1,1)-2),7)&gt;3,1,0))+7)</f>
        <v>2025</v>
      </c>
      <c r="E158" s="164">
        <f>_xlfn.ISOWEEKNUM(Runhours_Table[[#This Row],[Date]])</f>
        <v>2</v>
      </c>
      <c r="F158" s="160" t="str">
        <f>RIGHT(YEAR(Runhours_Table[[#This Row],[Date]]),2)&amp;TEXT(_xlfn.ISOWEEKNUM(Runhours_Table[[#This Row],[Date]]),"00")</f>
        <v>2502</v>
      </c>
      <c r="G158" s="38">
        <v>13.6</v>
      </c>
      <c r="H158" s="38">
        <v>24</v>
      </c>
      <c r="I158" s="38">
        <f ca="1">_xlfn.ISOWEEKNUM(Runhours_Table[[#This Row],[Date]])+52*(Runhours_Table[[#This Row],[Year]]-YEAR(DATE(YEAR(TODAY()-WEEKDAY(TODAY()-1)+4),1,1)-MOD((DATE(YEAR(TODAY()-WEEKDAY(TODAY()-1)+4),1,1)-2),7)+(7*IF(MOD((DATE(YEAR(TODAY()-WEEKDAY(TODAY()-1)+4),1,1)-2),7)&gt;3,1,0))+7) )-_xlfn.ISOWEEKNUM(NOW())</f>
        <v>-35</v>
      </c>
      <c r="J158" s="345"/>
    </row>
    <row r="159" spans="1:10">
      <c r="A159" s="6" t="s">
        <v>7</v>
      </c>
      <c r="B159" s="6" t="str">
        <f>VLOOKUP(A159,Fleet[],2,FALSE)</f>
        <v>Intel</v>
      </c>
      <c r="C159" s="160">
        <v>45663</v>
      </c>
      <c r="D159" s="346">
        <f>YEAR(DATE(YEAR(Runhours_Table[[#This Row],[Date]]-WEEKDAY(Runhours_Table[[#This Row],[Date]]-1)+4),1,1)-MOD((DATE(YEAR(Runhours_Table[[#This Row],[Date]]-WEEKDAY(Runhours_Table[[#This Row],[Date]]-1)+4),1,1)-2),7)+(7*IF(MOD((DATE(YEAR(Runhours_Table[[#This Row],[Date]]-WEEKDAY(Runhours_Table[[#This Row],[Date]]-1)+4),1,1)-2),7)&gt;3,1,0))+7)</f>
        <v>2025</v>
      </c>
      <c r="E159" s="164">
        <f>_xlfn.ISOWEEKNUM(Runhours_Table[[#This Row],[Date]])</f>
        <v>2</v>
      </c>
      <c r="F159" s="160" t="str">
        <f>RIGHT(YEAR(Runhours_Table[[#This Row],[Date]]),2)&amp;TEXT(_xlfn.ISOWEEKNUM(Runhours_Table[[#This Row],[Date]]),"00")</f>
        <v>2502</v>
      </c>
      <c r="G159" s="38">
        <v>10.9</v>
      </c>
      <c r="H159" s="38">
        <v>14</v>
      </c>
      <c r="I159" s="38">
        <f ca="1">_xlfn.ISOWEEKNUM(Runhours_Table[[#This Row],[Date]])+52*(Runhours_Table[[#This Row],[Year]]-YEAR(DATE(YEAR(TODAY()-WEEKDAY(TODAY()-1)+4),1,1)-MOD((DATE(YEAR(TODAY()-WEEKDAY(TODAY()-1)+4),1,1)-2),7)+(7*IF(MOD((DATE(YEAR(TODAY()-WEEKDAY(TODAY()-1)+4),1,1)-2),7)&gt;3,1,0))+7) )-_xlfn.ISOWEEKNUM(NOW())</f>
        <v>-35</v>
      </c>
      <c r="J159" s="345"/>
    </row>
    <row r="160" spans="1:10">
      <c r="A160" s="6" t="s">
        <v>4</v>
      </c>
      <c r="B160" s="6" t="str">
        <f>VLOOKUP(A160,Fleet[],2,FALSE)</f>
        <v>Intel</v>
      </c>
      <c r="C160" s="160">
        <v>45664</v>
      </c>
      <c r="D160" s="346">
        <f>YEAR(DATE(YEAR(Runhours_Table[[#This Row],[Date]]-WEEKDAY(Runhours_Table[[#This Row],[Date]]-1)+4),1,1)-MOD((DATE(YEAR(Runhours_Table[[#This Row],[Date]]-WEEKDAY(Runhours_Table[[#This Row],[Date]]-1)+4),1,1)-2),7)+(7*IF(MOD((DATE(YEAR(Runhours_Table[[#This Row],[Date]]-WEEKDAY(Runhours_Table[[#This Row],[Date]]-1)+4),1,1)-2),7)&gt;3,1,0))+7)</f>
        <v>2025</v>
      </c>
      <c r="E160" s="164">
        <f>_xlfn.ISOWEEKNUM(Runhours_Table[[#This Row],[Date]])</f>
        <v>2</v>
      </c>
      <c r="F160" s="160" t="str">
        <f>RIGHT(YEAR(Runhours_Table[[#This Row],[Date]]),2)&amp;TEXT(_xlfn.ISOWEEKNUM(Runhours_Table[[#This Row],[Date]]),"00")</f>
        <v>2502</v>
      </c>
      <c r="G160" s="38">
        <v>6</v>
      </c>
      <c r="H160" s="38">
        <v>11</v>
      </c>
      <c r="I160" s="38">
        <f ca="1">_xlfn.ISOWEEKNUM(Runhours_Table[[#This Row],[Date]])+52*(Runhours_Table[[#This Row],[Year]]-YEAR(DATE(YEAR(TODAY()-WEEKDAY(TODAY()-1)+4),1,1)-MOD((DATE(YEAR(TODAY()-WEEKDAY(TODAY()-1)+4),1,1)-2),7)+(7*IF(MOD((DATE(YEAR(TODAY()-WEEKDAY(TODAY()-1)+4),1,1)-2),7)&gt;3,1,0))+7) )-_xlfn.ISOWEEKNUM(NOW())</f>
        <v>-35</v>
      </c>
      <c r="J160" s="345"/>
    </row>
    <row r="161" spans="1:10">
      <c r="A161" s="6" t="s">
        <v>7</v>
      </c>
      <c r="B161" s="6" t="str">
        <f>VLOOKUP(A161,Fleet[],2,FALSE)</f>
        <v>Intel</v>
      </c>
      <c r="C161" s="160">
        <v>45664</v>
      </c>
      <c r="D161" s="346">
        <f>YEAR(DATE(YEAR(Runhours_Table[[#This Row],[Date]]-WEEKDAY(Runhours_Table[[#This Row],[Date]]-1)+4),1,1)-MOD((DATE(YEAR(Runhours_Table[[#This Row],[Date]]-WEEKDAY(Runhours_Table[[#This Row],[Date]]-1)+4),1,1)-2),7)+(7*IF(MOD((DATE(YEAR(Runhours_Table[[#This Row],[Date]]-WEEKDAY(Runhours_Table[[#This Row],[Date]]-1)+4),1,1)-2),7)&gt;3,1,0))+7)</f>
        <v>2025</v>
      </c>
      <c r="E161" s="164">
        <f>_xlfn.ISOWEEKNUM(Runhours_Table[[#This Row],[Date]])</f>
        <v>2</v>
      </c>
      <c r="F161" s="160" t="str">
        <f>RIGHT(YEAR(Runhours_Table[[#This Row],[Date]]),2)&amp;TEXT(_xlfn.ISOWEEKNUM(Runhours_Table[[#This Row],[Date]]),"00")</f>
        <v>2502</v>
      </c>
      <c r="G161" s="38">
        <v>2.6</v>
      </c>
      <c r="H161" s="38">
        <v>5</v>
      </c>
      <c r="I161" s="38">
        <f ca="1">_xlfn.ISOWEEKNUM(Runhours_Table[[#This Row],[Date]])+52*(Runhours_Table[[#This Row],[Year]]-YEAR(DATE(YEAR(TODAY()-WEEKDAY(TODAY()-1)+4),1,1)-MOD((DATE(YEAR(TODAY()-WEEKDAY(TODAY()-1)+4),1,1)-2),7)+(7*IF(MOD((DATE(YEAR(TODAY()-WEEKDAY(TODAY()-1)+4),1,1)-2),7)&gt;3,1,0))+7) )-_xlfn.ISOWEEKNUM(NOW())</f>
        <v>-35</v>
      </c>
      <c r="J161" s="345"/>
    </row>
    <row r="162" spans="1:10">
      <c r="A162" s="6" t="s">
        <v>4</v>
      </c>
      <c r="B162" s="6" t="str">
        <f>VLOOKUP(A162,Fleet[],2,FALSE)</f>
        <v>Intel</v>
      </c>
      <c r="C162" s="160">
        <v>45665</v>
      </c>
      <c r="D162" s="346">
        <f>YEAR(DATE(YEAR(Runhours_Table[[#This Row],[Date]]-WEEKDAY(Runhours_Table[[#This Row],[Date]]-1)+4),1,1)-MOD((DATE(YEAR(Runhours_Table[[#This Row],[Date]]-WEEKDAY(Runhours_Table[[#This Row],[Date]]-1)+4),1,1)-2),7)+(7*IF(MOD((DATE(YEAR(Runhours_Table[[#This Row],[Date]]-WEEKDAY(Runhours_Table[[#This Row],[Date]]-1)+4),1,1)-2),7)&gt;3,1,0))+7)</f>
        <v>2025</v>
      </c>
      <c r="E162" s="164">
        <f>_xlfn.ISOWEEKNUM(Runhours_Table[[#This Row],[Date]])</f>
        <v>2</v>
      </c>
      <c r="F162" s="160" t="str">
        <f>RIGHT(YEAR(Runhours_Table[[#This Row],[Date]]),2)&amp;TEXT(_xlfn.ISOWEEKNUM(Runhours_Table[[#This Row],[Date]]),"00")</f>
        <v>2502</v>
      </c>
      <c r="G162" s="38">
        <v>13.4</v>
      </c>
      <c r="H162" s="38">
        <v>22</v>
      </c>
      <c r="I162" s="38">
        <f ca="1">_xlfn.ISOWEEKNUM(Runhours_Table[[#This Row],[Date]])+52*(Runhours_Table[[#This Row],[Year]]-YEAR(DATE(YEAR(TODAY()-WEEKDAY(TODAY()-1)+4),1,1)-MOD((DATE(YEAR(TODAY()-WEEKDAY(TODAY()-1)+4),1,1)-2),7)+(7*IF(MOD((DATE(YEAR(TODAY()-WEEKDAY(TODAY()-1)+4),1,1)-2),7)&gt;3,1,0))+7) )-_xlfn.ISOWEEKNUM(NOW())</f>
        <v>-35</v>
      </c>
      <c r="J162" s="345"/>
    </row>
    <row r="163" spans="1:10">
      <c r="A163" s="6" t="s">
        <v>7</v>
      </c>
      <c r="B163" s="6" t="str">
        <f>VLOOKUP(A163,Fleet[],2,FALSE)</f>
        <v>Intel</v>
      </c>
      <c r="C163" s="160">
        <v>45665</v>
      </c>
      <c r="D163" s="346">
        <f>YEAR(DATE(YEAR(Runhours_Table[[#This Row],[Date]]-WEEKDAY(Runhours_Table[[#This Row],[Date]]-1)+4),1,1)-MOD((DATE(YEAR(Runhours_Table[[#This Row],[Date]]-WEEKDAY(Runhours_Table[[#This Row],[Date]]-1)+4),1,1)-2),7)+(7*IF(MOD((DATE(YEAR(Runhours_Table[[#This Row],[Date]]-WEEKDAY(Runhours_Table[[#This Row],[Date]]-1)+4),1,1)-2),7)&gt;3,1,0))+7)</f>
        <v>2025</v>
      </c>
      <c r="E163" s="164">
        <f>_xlfn.ISOWEEKNUM(Runhours_Table[[#This Row],[Date]])</f>
        <v>2</v>
      </c>
      <c r="F163" s="160" t="str">
        <f>RIGHT(YEAR(Runhours_Table[[#This Row],[Date]]),2)&amp;TEXT(_xlfn.ISOWEEKNUM(Runhours_Table[[#This Row],[Date]]),"00")</f>
        <v>2502</v>
      </c>
      <c r="G163" s="38">
        <v>11.8</v>
      </c>
      <c r="H163" s="38">
        <v>19</v>
      </c>
      <c r="I163" s="38">
        <f ca="1">_xlfn.ISOWEEKNUM(Runhours_Table[[#This Row],[Date]])+52*(Runhours_Table[[#This Row],[Year]]-YEAR(DATE(YEAR(TODAY()-WEEKDAY(TODAY()-1)+4),1,1)-MOD((DATE(YEAR(TODAY()-WEEKDAY(TODAY()-1)+4),1,1)-2),7)+(7*IF(MOD((DATE(YEAR(TODAY()-WEEKDAY(TODAY()-1)+4),1,1)-2),7)&gt;3,1,0))+7) )-_xlfn.ISOWEEKNUM(NOW())</f>
        <v>-35</v>
      </c>
      <c r="J163" s="345"/>
    </row>
    <row r="164" spans="1:10">
      <c r="A164" s="6" t="s">
        <v>4</v>
      </c>
      <c r="B164" s="6" t="str">
        <f>VLOOKUP(A164,Fleet[],2,FALSE)</f>
        <v>Intel</v>
      </c>
      <c r="C164" s="160">
        <v>45666</v>
      </c>
      <c r="D164" s="346">
        <f>YEAR(DATE(YEAR(Runhours_Table[[#This Row],[Date]]-WEEKDAY(Runhours_Table[[#This Row],[Date]]-1)+4),1,1)-MOD((DATE(YEAR(Runhours_Table[[#This Row],[Date]]-WEEKDAY(Runhours_Table[[#This Row],[Date]]-1)+4),1,1)-2),7)+(7*IF(MOD((DATE(YEAR(Runhours_Table[[#This Row],[Date]]-WEEKDAY(Runhours_Table[[#This Row],[Date]]-1)+4),1,1)-2),7)&gt;3,1,0))+7)</f>
        <v>2025</v>
      </c>
      <c r="E164" s="164">
        <f>_xlfn.ISOWEEKNUM(Runhours_Table[[#This Row],[Date]])</f>
        <v>2</v>
      </c>
      <c r="F164" s="160" t="str">
        <f>RIGHT(YEAR(Runhours_Table[[#This Row],[Date]]),2)&amp;TEXT(_xlfn.ISOWEEKNUM(Runhours_Table[[#This Row],[Date]]),"00")</f>
        <v>2502</v>
      </c>
      <c r="G164" s="38">
        <v>0.9</v>
      </c>
      <c r="H164" s="38">
        <v>10</v>
      </c>
      <c r="I164" s="38">
        <f ca="1">_xlfn.ISOWEEKNUM(Runhours_Table[[#This Row],[Date]])+52*(Runhours_Table[[#This Row],[Year]]-YEAR(DATE(YEAR(TODAY()-WEEKDAY(TODAY()-1)+4),1,1)-MOD((DATE(YEAR(TODAY()-WEEKDAY(TODAY()-1)+4),1,1)-2),7)+(7*IF(MOD((DATE(YEAR(TODAY()-WEEKDAY(TODAY()-1)+4),1,1)-2),7)&gt;3,1,0))+7) )-_xlfn.ISOWEEKNUM(NOW())</f>
        <v>-35</v>
      </c>
      <c r="J164" s="345"/>
    </row>
    <row r="165" spans="1:10">
      <c r="A165" s="6" t="s">
        <v>7</v>
      </c>
      <c r="B165" s="6" t="str">
        <f>VLOOKUP(A165,Fleet[],2,FALSE)</f>
        <v>Intel</v>
      </c>
      <c r="C165" s="160">
        <v>45666</v>
      </c>
      <c r="D165" s="346">
        <f>YEAR(DATE(YEAR(Runhours_Table[[#This Row],[Date]]-WEEKDAY(Runhours_Table[[#This Row],[Date]]-1)+4),1,1)-MOD((DATE(YEAR(Runhours_Table[[#This Row],[Date]]-WEEKDAY(Runhours_Table[[#This Row],[Date]]-1)+4),1,1)-2),7)+(7*IF(MOD((DATE(YEAR(Runhours_Table[[#This Row],[Date]]-WEEKDAY(Runhours_Table[[#This Row],[Date]]-1)+4),1,1)-2),7)&gt;3,1,0))+7)</f>
        <v>2025</v>
      </c>
      <c r="E165" s="164">
        <f>_xlfn.ISOWEEKNUM(Runhours_Table[[#This Row],[Date]])</f>
        <v>2</v>
      </c>
      <c r="F165" s="160" t="str">
        <f>RIGHT(YEAR(Runhours_Table[[#This Row],[Date]]),2)&amp;TEXT(_xlfn.ISOWEEKNUM(Runhours_Table[[#This Row],[Date]]),"00")</f>
        <v>2502</v>
      </c>
      <c r="G165" s="38">
        <v>15.6</v>
      </c>
      <c r="H165" s="38">
        <v>22</v>
      </c>
      <c r="I165" s="38">
        <f ca="1">_xlfn.ISOWEEKNUM(Runhours_Table[[#This Row],[Date]])+52*(Runhours_Table[[#This Row],[Year]]-YEAR(DATE(YEAR(TODAY()-WEEKDAY(TODAY()-1)+4),1,1)-MOD((DATE(YEAR(TODAY()-WEEKDAY(TODAY()-1)+4),1,1)-2),7)+(7*IF(MOD((DATE(YEAR(TODAY()-WEEKDAY(TODAY()-1)+4),1,1)-2),7)&gt;3,1,0))+7) )-_xlfn.ISOWEEKNUM(NOW())</f>
        <v>-35</v>
      </c>
      <c r="J165" s="345"/>
    </row>
    <row r="166" spans="1:10">
      <c r="A166" s="6" t="s">
        <v>4</v>
      </c>
      <c r="B166" s="6" t="str">
        <f>VLOOKUP(A166,Fleet[],2,FALSE)</f>
        <v>Intel</v>
      </c>
      <c r="C166" s="160">
        <v>45667</v>
      </c>
      <c r="D166" s="346">
        <f>YEAR(DATE(YEAR(Runhours_Table[[#This Row],[Date]]-WEEKDAY(Runhours_Table[[#This Row],[Date]]-1)+4),1,1)-MOD((DATE(YEAR(Runhours_Table[[#This Row],[Date]]-WEEKDAY(Runhours_Table[[#This Row],[Date]]-1)+4),1,1)-2),7)+(7*IF(MOD((DATE(YEAR(Runhours_Table[[#This Row],[Date]]-WEEKDAY(Runhours_Table[[#This Row],[Date]]-1)+4),1,1)-2),7)&gt;3,1,0))+7)</f>
        <v>2025</v>
      </c>
      <c r="E166" s="164">
        <f>_xlfn.ISOWEEKNUM(Runhours_Table[[#This Row],[Date]])</f>
        <v>2</v>
      </c>
      <c r="F166" s="160" t="str">
        <f>RIGHT(YEAR(Runhours_Table[[#This Row],[Date]]),2)&amp;TEXT(_xlfn.ISOWEEKNUM(Runhours_Table[[#This Row],[Date]]),"00")</f>
        <v>2502</v>
      </c>
      <c r="G166" s="38">
        <v>1.1000000000000001</v>
      </c>
      <c r="H166" s="38">
        <v>15</v>
      </c>
      <c r="I166" s="38">
        <f ca="1">_xlfn.ISOWEEKNUM(Runhours_Table[[#This Row],[Date]])+52*(Runhours_Table[[#This Row],[Year]]-YEAR(DATE(YEAR(TODAY()-WEEKDAY(TODAY()-1)+4),1,1)-MOD((DATE(YEAR(TODAY()-WEEKDAY(TODAY()-1)+4),1,1)-2),7)+(7*IF(MOD((DATE(YEAR(TODAY()-WEEKDAY(TODAY()-1)+4),1,1)-2),7)&gt;3,1,0))+7) )-_xlfn.ISOWEEKNUM(NOW())</f>
        <v>-35</v>
      </c>
      <c r="J166" s="345"/>
    </row>
    <row r="167" spans="1:10">
      <c r="A167" s="6" t="s">
        <v>7</v>
      </c>
      <c r="B167" s="6" t="str">
        <f>VLOOKUP(A167,Fleet[],2,FALSE)</f>
        <v>Intel</v>
      </c>
      <c r="C167" s="160">
        <v>45667</v>
      </c>
      <c r="D167" s="346">
        <f>YEAR(DATE(YEAR(Runhours_Table[[#This Row],[Date]]-WEEKDAY(Runhours_Table[[#This Row],[Date]]-1)+4),1,1)-MOD((DATE(YEAR(Runhours_Table[[#This Row],[Date]]-WEEKDAY(Runhours_Table[[#This Row],[Date]]-1)+4),1,1)-2),7)+(7*IF(MOD((DATE(YEAR(Runhours_Table[[#This Row],[Date]]-WEEKDAY(Runhours_Table[[#This Row],[Date]]-1)+4),1,1)-2),7)&gt;3,1,0))+7)</f>
        <v>2025</v>
      </c>
      <c r="E167" s="164">
        <f>_xlfn.ISOWEEKNUM(Runhours_Table[[#This Row],[Date]])</f>
        <v>2</v>
      </c>
      <c r="F167" s="160" t="str">
        <f>RIGHT(YEAR(Runhours_Table[[#This Row],[Date]]),2)&amp;TEXT(_xlfn.ISOWEEKNUM(Runhours_Table[[#This Row],[Date]]),"00")</f>
        <v>2502</v>
      </c>
      <c r="G167" s="38">
        <v>2.4</v>
      </c>
      <c r="H167" s="38">
        <v>2</v>
      </c>
      <c r="I167" s="38">
        <f ca="1">_xlfn.ISOWEEKNUM(Runhours_Table[[#This Row],[Date]])+52*(Runhours_Table[[#This Row],[Year]]-YEAR(DATE(YEAR(TODAY()-WEEKDAY(TODAY()-1)+4),1,1)-MOD((DATE(YEAR(TODAY()-WEEKDAY(TODAY()-1)+4),1,1)-2),7)+(7*IF(MOD((DATE(YEAR(TODAY()-WEEKDAY(TODAY()-1)+4),1,1)-2),7)&gt;3,1,0))+7) )-_xlfn.ISOWEEKNUM(NOW())</f>
        <v>-35</v>
      </c>
      <c r="J167" s="345"/>
    </row>
    <row r="168" spans="1:10">
      <c r="A168" s="6" t="s">
        <v>4</v>
      </c>
      <c r="B168" s="6" t="str">
        <f>VLOOKUP(A168,Fleet[],2,FALSE)</f>
        <v>Intel</v>
      </c>
      <c r="C168" s="160">
        <v>45668</v>
      </c>
      <c r="D168" s="346">
        <f>YEAR(DATE(YEAR(Runhours_Table[[#This Row],[Date]]-WEEKDAY(Runhours_Table[[#This Row],[Date]]-1)+4),1,1)-MOD((DATE(YEAR(Runhours_Table[[#This Row],[Date]]-WEEKDAY(Runhours_Table[[#This Row],[Date]]-1)+4),1,1)-2),7)+(7*IF(MOD((DATE(YEAR(Runhours_Table[[#This Row],[Date]]-WEEKDAY(Runhours_Table[[#This Row],[Date]]-1)+4),1,1)-2),7)&gt;3,1,0))+7)</f>
        <v>2025</v>
      </c>
      <c r="E168" s="164">
        <f>_xlfn.ISOWEEKNUM(Runhours_Table[[#This Row],[Date]])</f>
        <v>2</v>
      </c>
      <c r="F168" s="160" t="str">
        <f>RIGHT(YEAR(Runhours_Table[[#This Row],[Date]]),2)&amp;TEXT(_xlfn.ISOWEEKNUM(Runhours_Table[[#This Row],[Date]]),"00")</f>
        <v>2502</v>
      </c>
      <c r="G168" s="38">
        <v>14.8</v>
      </c>
      <c r="H168" s="38">
        <v>21</v>
      </c>
      <c r="I168" s="38">
        <f ca="1">_xlfn.ISOWEEKNUM(Runhours_Table[[#This Row],[Date]])+52*(Runhours_Table[[#This Row],[Year]]-YEAR(DATE(YEAR(TODAY()-WEEKDAY(TODAY()-1)+4),1,1)-MOD((DATE(YEAR(TODAY()-WEEKDAY(TODAY()-1)+4),1,1)-2),7)+(7*IF(MOD((DATE(YEAR(TODAY()-WEEKDAY(TODAY()-1)+4),1,1)-2),7)&gt;3,1,0))+7) )-_xlfn.ISOWEEKNUM(NOW())</f>
        <v>-35</v>
      </c>
      <c r="J168" s="345"/>
    </row>
    <row r="169" spans="1:10">
      <c r="A169" s="6" t="s">
        <v>7</v>
      </c>
      <c r="B169" s="6" t="str">
        <f>VLOOKUP(A169,Fleet[],2,FALSE)</f>
        <v>Intel</v>
      </c>
      <c r="C169" s="160">
        <v>45668</v>
      </c>
      <c r="D169" s="346">
        <f>YEAR(DATE(YEAR(Runhours_Table[[#This Row],[Date]]-WEEKDAY(Runhours_Table[[#This Row],[Date]]-1)+4),1,1)-MOD((DATE(YEAR(Runhours_Table[[#This Row],[Date]]-WEEKDAY(Runhours_Table[[#This Row],[Date]]-1)+4),1,1)-2),7)+(7*IF(MOD((DATE(YEAR(Runhours_Table[[#This Row],[Date]]-WEEKDAY(Runhours_Table[[#This Row],[Date]]-1)+4),1,1)-2),7)&gt;3,1,0))+7)</f>
        <v>2025</v>
      </c>
      <c r="E169" s="164">
        <f>_xlfn.ISOWEEKNUM(Runhours_Table[[#This Row],[Date]])</f>
        <v>2</v>
      </c>
      <c r="F169" s="160" t="str">
        <f>RIGHT(YEAR(Runhours_Table[[#This Row],[Date]]),2)&amp;TEXT(_xlfn.ISOWEEKNUM(Runhours_Table[[#This Row],[Date]]),"00")</f>
        <v>2502</v>
      </c>
      <c r="G169" s="38">
        <v>1.9</v>
      </c>
      <c r="H169" s="38">
        <v>12</v>
      </c>
      <c r="I169" s="38">
        <f ca="1">_xlfn.ISOWEEKNUM(Runhours_Table[[#This Row],[Date]])+52*(Runhours_Table[[#This Row],[Year]]-YEAR(DATE(YEAR(TODAY()-WEEKDAY(TODAY()-1)+4),1,1)-MOD((DATE(YEAR(TODAY()-WEEKDAY(TODAY()-1)+4),1,1)-2),7)+(7*IF(MOD((DATE(YEAR(TODAY()-WEEKDAY(TODAY()-1)+4),1,1)-2),7)&gt;3,1,0))+7) )-_xlfn.ISOWEEKNUM(NOW())</f>
        <v>-35</v>
      </c>
      <c r="J169" s="345"/>
    </row>
    <row r="170" spans="1:10">
      <c r="A170" s="6" t="s">
        <v>4</v>
      </c>
      <c r="B170" s="6" t="str">
        <f>VLOOKUP(A170,Fleet[],2,FALSE)</f>
        <v>Intel</v>
      </c>
      <c r="C170" s="160">
        <v>45669</v>
      </c>
      <c r="D170" s="346">
        <f>YEAR(DATE(YEAR(Runhours_Table[[#This Row],[Date]]-WEEKDAY(Runhours_Table[[#This Row],[Date]]-1)+4),1,1)-MOD((DATE(YEAR(Runhours_Table[[#This Row],[Date]]-WEEKDAY(Runhours_Table[[#This Row],[Date]]-1)+4),1,1)-2),7)+(7*IF(MOD((DATE(YEAR(Runhours_Table[[#This Row],[Date]]-WEEKDAY(Runhours_Table[[#This Row],[Date]]-1)+4),1,1)-2),7)&gt;3,1,0))+7)</f>
        <v>2025</v>
      </c>
      <c r="E170" s="164">
        <f>_xlfn.ISOWEEKNUM(Runhours_Table[[#This Row],[Date]])</f>
        <v>2</v>
      </c>
      <c r="F170" s="160" t="str">
        <f>RIGHT(YEAR(Runhours_Table[[#This Row],[Date]]),2)&amp;TEXT(_xlfn.ISOWEEKNUM(Runhours_Table[[#This Row],[Date]]),"00")</f>
        <v>2502</v>
      </c>
      <c r="G170" s="38">
        <v>12.7</v>
      </c>
      <c r="H170" s="38">
        <v>23</v>
      </c>
      <c r="I170" s="38">
        <f ca="1">_xlfn.ISOWEEKNUM(Runhours_Table[[#This Row],[Date]])+52*(Runhours_Table[[#This Row],[Year]]-YEAR(DATE(YEAR(TODAY()-WEEKDAY(TODAY()-1)+4),1,1)-MOD((DATE(YEAR(TODAY()-WEEKDAY(TODAY()-1)+4),1,1)-2),7)+(7*IF(MOD((DATE(YEAR(TODAY()-WEEKDAY(TODAY()-1)+4),1,1)-2),7)&gt;3,1,0))+7) )-_xlfn.ISOWEEKNUM(NOW())</f>
        <v>-35</v>
      </c>
      <c r="J170" s="345"/>
    </row>
    <row r="171" spans="1:10">
      <c r="A171" s="6" t="s">
        <v>7</v>
      </c>
      <c r="B171" s="6" t="str">
        <f>VLOOKUP(A171,Fleet[],2,FALSE)</f>
        <v>Intel</v>
      </c>
      <c r="C171" s="160">
        <v>45669</v>
      </c>
      <c r="D171" s="346">
        <f>YEAR(DATE(YEAR(Runhours_Table[[#This Row],[Date]]-WEEKDAY(Runhours_Table[[#This Row],[Date]]-1)+4),1,1)-MOD((DATE(YEAR(Runhours_Table[[#This Row],[Date]]-WEEKDAY(Runhours_Table[[#This Row],[Date]]-1)+4),1,1)-2),7)+(7*IF(MOD((DATE(YEAR(Runhours_Table[[#This Row],[Date]]-WEEKDAY(Runhours_Table[[#This Row],[Date]]-1)+4),1,1)-2),7)&gt;3,1,0))+7)</f>
        <v>2025</v>
      </c>
      <c r="E171" s="164">
        <f>_xlfn.ISOWEEKNUM(Runhours_Table[[#This Row],[Date]])</f>
        <v>2</v>
      </c>
      <c r="F171" s="160" t="str">
        <f>RIGHT(YEAR(Runhours_Table[[#This Row],[Date]]),2)&amp;TEXT(_xlfn.ISOWEEKNUM(Runhours_Table[[#This Row],[Date]]),"00")</f>
        <v>2502</v>
      </c>
      <c r="G171" s="38">
        <v>21</v>
      </c>
      <c r="H171" s="38">
        <v>23</v>
      </c>
      <c r="I171" s="38">
        <f ca="1">_xlfn.ISOWEEKNUM(Runhours_Table[[#This Row],[Date]])+52*(Runhours_Table[[#This Row],[Year]]-YEAR(DATE(YEAR(TODAY()-WEEKDAY(TODAY()-1)+4),1,1)-MOD((DATE(YEAR(TODAY()-WEEKDAY(TODAY()-1)+4),1,1)-2),7)+(7*IF(MOD((DATE(YEAR(TODAY()-WEEKDAY(TODAY()-1)+4),1,1)-2),7)&gt;3,1,0))+7) )-_xlfn.ISOWEEKNUM(NOW())</f>
        <v>-35</v>
      </c>
      <c r="J171" s="345"/>
    </row>
    <row r="172" spans="1:10">
      <c r="A172" s="6" t="s">
        <v>4</v>
      </c>
      <c r="B172" s="6" t="str">
        <f>VLOOKUP(A172,Fleet[],2,FALSE)</f>
        <v>Intel</v>
      </c>
      <c r="C172" s="160">
        <v>45670</v>
      </c>
      <c r="D172" s="346">
        <f>YEAR(DATE(YEAR(Runhours_Table[[#This Row],[Date]]-WEEKDAY(Runhours_Table[[#This Row],[Date]]-1)+4),1,1)-MOD((DATE(YEAR(Runhours_Table[[#This Row],[Date]]-WEEKDAY(Runhours_Table[[#This Row],[Date]]-1)+4),1,1)-2),7)+(7*IF(MOD((DATE(YEAR(Runhours_Table[[#This Row],[Date]]-WEEKDAY(Runhours_Table[[#This Row],[Date]]-1)+4),1,1)-2),7)&gt;3,1,0))+7)</f>
        <v>2025</v>
      </c>
      <c r="E172" s="164">
        <f>_xlfn.ISOWEEKNUM(Runhours_Table[[#This Row],[Date]])</f>
        <v>3</v>
      </c>
      <c r="F172" s="160" t="str">
        <f>RIGHT(YEAR(Runhours_Table[[#This Row],[Date]]),2)&amp;TEXT(_xlfn.ISOWEEKNUM(Runhours_Table[[#This Row],[Date]]),"00")</f>
        <v>2503</v>
      </c>
      <c r="G172" s="38">
        <v>12.4</v>
      </c>
      <c r="H172" s="38">
        <v>23</v>
      </c>
      <c r="I172" s="38">
        <f ca="1">_xlfn.ISOWEEKNUM(Runhours_Table[[#This Row],[Date]])+52*(Runhours_Table[[#This Row],[Year]]-YEAR(DATE(YEAR(TODAY()-WEEKDAY(TODAY()-1)+4),1,1)-MOD((DATE(YEAR(TODAY()-WEEKDAY(TODAY()-1)+4),1,1)-2),7)+(7*IF(MOD((DATE(YEAR(TODAY()-WEEKDAY(TODAY()-1)+4),1,1)-2),7)&gt;3,1,0))+7) )-_xlfn.ISOWEEKNUM(NOW())</f>
        <v>-34</v>
      </c>
      <c r="J172" s="345"/>
    </row>
    <row r="173" spans="1:10">
      <c r="A173" s="6" t="s">
        <v>7</v>
      </c>
      <c r="B173" s="6" t="str">
        <f>VLOOKUP(A173,Fleet[],2,FALSE)</f>
        <v>Intel</v>
      </c>
      <c r="C173" s="160">
        <v>45670</v>
      </c>
      <c r="D173" s="346">
        <f>YEAR(DATE(YEAR(Runhours_Table[[#This Row],[Date]]-WEEKDAY(Runhours_Table[[#This Row],[Date]]-1)+4),1,1)-MOD((DATE(YEAR(Runhours_Table[[#This Row],[Date]]-WEEKDAY(Runhours_Table[[#This Row],[Date]]-1)+4),1,1)-2),7)+(7*IF(MOD((DATE(YEAR(Runhours_Table[[#This Row],[Date]]-WEEKDAY(Runhours_Table[[#This Row],[Date]]-1)+4),1,1)-2),7)&gt;3,1,0))+7)</f>
        <v>2025</v>
      </c>
      <c r="E173" s="164">
        <f>_xlfn.ISOWEEKNUM(Runhours_Table[[#This Row],[Date]])</f>
        <v>3</v>
      </c>
      <c r="F173" s="160" t="str">
        <f>RIGHT(YEAR(Runhours_Table[[#This Row],[Date]]),2)&amp;TEXT(_xlfn.ISOWEEKNUM(Runhours_Table[[#This Row],[Date]]),"00")</f>
        <v>2503</v>
      </c>
      <c r="G173" s="38">
        <v>13</v>
      </c>
      <c r="H173" s="38">
        <v>21</v>
      </c>
      <c r="I173" s="38">
        <f ca="1">_xlfn.ISOWEEKNUM(Runhours_Table[[#This Row],[Date]])+52*(Runhours_Table[[#This Row],[Year]]-YEAR(DATE(YEAR(TODAY()-WEEKDAY(TODAY()-1)+4),1,1)-MOD((DATE(YEAR(TODAY()-WEEKDAY(TODAY()-1)+4),1,1)-2),7)+(7*IF(MOD((DATE(YEAR(TODAY()-WEEKDAY(TODAY()-1)+4),1,1)-2),7)&gt;3,1,0))+7) )-_xlfn.ISOWEEKNUM(NOW())</f>
        <v>-34</v>
      </c>
      <c r="J173" s="345"/>
    </row>
    <row r="174" spans="1:10">
      <c r="A174" s="6" t="s">
        <v>4</v>
      </c>
      <c r="B174" s="6" t="str">
        <f>VLOOKUP(A174,Fleet[],2,FALSE)</f>
        <v>Intel</v>
      </c>
      <c r="C174" s="160">
        <v>45671</v>
      </c>
      <c r="D174" s="346">
        <f>YEAR(DATE(YEAR(Runhours_Table[[#This Row],[Date]]-WEEKDAY(Runhours_Table[[#This Row],[Date]]-1)+4),1,1)-MOD((DATE(YEAR(Runhours_Table[[#This Row],[Date]]-WEEKDAY(Runhours_Table[[#This Row],[Date]]-1)+4),1,1)-2),7)+(7*IF(MOD((DATE(YEAR(Runhours_Table[[#This Row],[Date]]-WEEKDAY(Runhours_Table[[#This Row],[Date]]-1)+4),1,1)-2),7)&gt;3,1,0))+7)</f>
        <v>2025</v>
      </c>
      <c r="E174" s="164">
        <f>_xlfn.ISOWEEKNUM(Runhours_Table[[#This Row],[Date]])</f>
        <v>3</v>
      </c>
      <c r="F174" s="160" t="str">
        <f>RIGHT(YEAR(Runhours_Table[[#This Row],[Date]]),2)&amp;TEXT(_xlfn.ISOWEEKNUM(Runhours_Table[[#This Row],[Date]]),"00")</f>
        <v>2503</v>
      </c>
      <c r="G174" s="38">
        <v>11.1</v>
      </c>
      <c r="H174" s="38">
        <v>23</v>
      </c>
      <c r="I174" s="38">
        <f ca="1">_xlfn.ISOWEEKNUM(Runhours_Table[[#This Row],[Date]])+52*(Runhours_Table[[#This Row],[Year]]-YEAR(DATE(YEAR(TODAY()-WEEKDAY(TODAY()-1)+4),1,1)-MOD((DATE(YEAR(TODAY()-WEEKDAY(TODAY()-1)+4),1,1)-2),7)+(7*IF(MOD((DATE(YEAR(TODAY()-WEEKDAY(TODAY()-1)+4),1,1)-2),7)&gt;3,1,0))+7) )-_xlfn.ISOWEEKNUM(NOW())</f>
        <v>-34</v>
      </c>
      <c r="J174" s="345"/>
    </row>
    <row r="175" spans="1:10">
      <c r="A175" s="6" t="s">
        <v>7</v>
      </c>
      <c r="B175" s="6" t="str">
        <f>VLOOKUP(A175,Fleet[],2,FALSE)</f>
        <v>Intel</v>
      </c>
      <c r="C175" s="160">
        <v>45671</v>
      </c>
      <c r="D175" s="346">
        <f>YEAR(DATE(YEAR(Runhours_Table[[#This Row],[Date]]-WEEKDAY(Runhours_Table[[#This Row],[Date]]-1)+4),1,1)-MOD((DATE(YEAR(Runhours_Table[[#This Row],[Date]]-WEEKDAY(Runhours_Table[[#This Row],[Date]]-1)+4),1,1)-2),7)+(7*IF(MOD((DATE(YEAR(Runhours_Table[[#This Row],[Date]]-WEEKDAY(Runhours_Table[[#This Row],[Date]]-1)+4),1,1)-2),7)&gt;3,1,0))+7)</f>
        <v>2025</v>
      </c>
      <c r="E175" s="164">
        <f>_xlfn.ISOWEEKNUM(Runhours_Table[[#This Row],[Date]])</f>
        <v>3</v>
      </c>
      <c r="F175" s="160" t="str">
        <f>RIGHT(YEAR(Runhours_Table[[#This Row],[Date]]),2)&amp;TEXT(_xlfn.ISOWEEKNUM(Runhours_Table[[#This Row],[Date]]),"00")</f>
        <v>2503</v>
      </c>
      <c r="G175" s="38">
        <v>15.3</v>
      </c>
      <c r="H175" s="38">
        <v>21</v>
      </c>
      <c r="I175" s="38">
        <f ca="1">_xlfn.ISOWEEKNUM(Runhours_Table[[#This Row],[Date]])+52*(Runhours_Table[[#This Row],[Year]]-YEAR(DATE(YEAR(TODAY()-WEEKDAY(TODAY()-1)+4),1,1)-MOD((DATE(YEAR(TODAY()-WEEKDAY(TODAY()-1)+4),1,1)-2),7)+(7*IF(MOD((DATE(YEAR(TODAY()-WEEKDAY(TODAY()-1)+4),1,1)-2),7)&gt;3,1,0))+7) )-_xlfn.ISOWEEKNUM(NOW())</f>
        <v>-34</v>
      </c>
      <c r="J175" s="345"/>
    </row>
    <row r="176" spans="1:10">
      <c r="A176" s="6" t="s">
        <v>4</v>
      </c>
      <c r="B176" s="6" t="str">
        <f>VLOOKUP(A176,Fleet[],2,FALSE)</f>
        <v>Intel</v>
      </c>
      <c r="C176" s="160">
        <v>45672</v>
      </c>
      <c r="D176" s="346">
        <f>YEAR(DATE(YEAR(Runhours_Table[[#This Row],[Date]]-WEEKDAY(Runhours_Table[[#This Row],[Date]]-1)+4),1,1)-MOD((DATE(YEAR(Runhours_Table[[#This Row],[Date]]-WEEKDAY(Runhours_Table[[#This Row],[Date]]-1)+4),1,1)-2),7)+(7*IF(MOD((DATE(YEAR(Runhours_Table[[#This Row],[Date]]-WEEKDAY(Runhours_Table[[#This Row],[Date]]-1)+4),1,1)-2),7)&gt;3,1,0))+7)</f>
        <v>2025</v>
      </c>
      <c r="E176" s="164">
        <f>_xlfn.ISOWEEKNUM(Runhours_Table[[#This Row],[Date]])</f>
        <v>3</v>
      </c>
      <c r="F176" s="160" t="str">
        <f>RIGHT(YEAR(Runhours_Table[[#This Row],[Date]]),2)&amp;TEXT(_xlfn.ISOWEEKNUM(Runhours_Table[[#This Row],[Date]]),"00")</f>
        <v>2503</v>
      </c>
      <c r="G176" s="38">
        <v>2.4</v>
      </c>
      <c r="H176" s="38">
        <v>18</v>
      </c>
      <c r="I176" s="38">
        <f ca="1">_xlfn.ISOWEEKNUM(Runhours_Table[[#This Row],[Date]])+52*(Runhours_Table[[#This Row],[Year]]-YEAR(DATE(YEAR(TODAY()-WEEKDAY(TODAY()-1)+4),1,1)-MOD((DATE(YEAR(TODAY()-WEEKDAY(TODAY()-1)+4),1,1)-2),7)+(7*IF(MOD((DATE(YEAR(TODAY()-WEEKDAY(TODAY()-1)+4),1,1)-2),7)&gt;3,1,0))+7) )-_xlfn.ISOWEEKNUM(NOW())</f>
        <v>-34</v>
      </c>
      <c r="J176" s="345"/>
    </row>
    <row r="177" spans="1:10">
      <c r="A177" s="6" t="s">
        <v>7</v>
      </c>
      <c r="B177" s="6" t="str">
        <f>VLOOKUP(A177,Fleet[],2,FALSE)</f>
        <v>Intel</v>
      </c>
      <c r="C177" s="160">
        <v>45672</v>
      </c>
      <c r="D177" s="346">
        <f>YEAR(DATE(YEAR(Runhours_Table[[#This Row],[Date]]-WEEKDAY(Runhours_Table[[#This Row],[Date]]-1)+4),1,1)-MOD((DATE(YEAR(Runhours_Table[[#This Row],[Date]]-WEEKDAY(Runhours_Table[[#This Row],[Date]]-1)+4),1,1)-2),7)+(7*IF(MOD((DATE(YEAR(Runhours_Table[[#This Row],[Date]]-WEEKDAY(Runhours_Table[[#This Row],[Date]]-1)+4),1,1)-2),7)&gt;3,1,0))+7)</f>
        <v>2025</v>
      </c>
      <c r="E177" s="164">
        <f>_xlfn.ISOWEEKNUM(Runhours_Table[[#This Row],[Date]])</f>
        <v>3</v>
      </c>
      <c r="F177" s="160" t="str">
        <f>RIGHT(YEAR(Runhours_Table[[#This Row],[Date]]),2)&amp;TEXT(_xlfn.ISOWEEKNUM(Runhours_Table[[#This Row],[Date]]),"00")</f>
        <v>2503</v>
      </c>
      <c r="G177" s="38">
        <v>14.4</v>
      </c>
      <c r="H177" s="38">
        <v>22</v>
      </c>
      <c r="I177" s="38">
        <f ca="1">_xlfn.ISOWEEKNUM(Runhours_Table[[#This Row],[Date]])+52*(Runhours_Table[[#This Row],[Year]]-YEAR(DATE(YEAR(TODAY()-WEEKDAY(TODAY()-1)+4),1,1)-MOD((DATE(YEAR(TODAY()-WEEKDAY(TODAY()-1)+4),1,1)-2),7)+(7*IF(MOD((DATE(YEAR(TODAY()-WEEKDAY(TODAY()-1)+4),1,1)-2),7)&gt;3,1,0))+7) )-_xlfn.ISOWEEKNUM(NOW())</f>
        <v>-34</v>
      </c>
      <c r="J177" s="345"/>
    </row>
    <row r="178" spans="1:10">
      <c r="A178" s="6" t="s">
        <v>4</v>
      </c>
      <c r="B178" s="6" t="str">
        <f>VLOOKUP(A178,Fleet[],2,FALSE)</f>
        <v>Intel</v>
      </c>
      <c r="C178" s="160">
        <v>45673</v>
      </c>
      <c r="D178" s="346">
        <f>YEAR(DATE(YEAR(Runhours_Table[[#This Row],[Date]]-WEEKDAY(Runhours_Table[[#This Row],[Date]]-1)+4),1,1)-MOD((DATE(YEAR(Runhours_Table[[#This Row],[Date]]-WEEKDAY(Runhours_Table[[#This Row],[Date]]-1)+4),1,1)-2),7)+(7*IF(MOD((DATE(YEAR(Runhours_Table[[#This Row],[Date]]-WEEKDAY(Runhours_Table[[#This Row],[Date]]-1)+4),1,1)-2),7)&gt;3,1,0))+7)</f>
        <v>2025</v>
      </c>
      <c r="E178" s="164">
        <f>_xlfn.ISOWEEKNUM(Runhours_Table[[#This Row],[Date]])</f>
        <v>3</v>
      </c>
      <c r="F178" s="160" t="str">
        <f>RIGHT(YEAR(Runhours_Table[[#This Row],[Date]]),2)&amp;TEXT(_xlfn.ISOWEEKNUM(Runhours_Table[[#This Row],[Date]]),"00")</f>
        <v>2503</v>
      </c>
      <c r="G178" s="38">
        <v>0</v>
      </c>
      <c r="H178" s="38">
        <v>0</v>
      </c>
      <c r="I178" s="38">
        <f ca="1">_xlfn.ISOWEEKNUM(Runhours_Table[[#This Row],[Date]])+52*(Runhours_Table[[#This Row],[Year]]-YEAR(DATE(YEAR(TODAY()-WEEKDAY(TODAY()-1)+4),1,1)-MOD((DATE(YEAR(TODAY()-WEEKDAY(TODAY()-1)+4),1,1)-2),7)+(7*IF(MOD((DATE(YEAR(TODAY()-WEEKDAY(TODAY()-1)+4),1,1)-2),7)&gt;3,1,0))+7) )-_xlfn.ISOWEEKNUM(NOW())</f>
        <v>-34</v>
      </c>
      <c r="J178" s="345"/>
    </row>
    <row r="179" spans="1:10">
      <c r="A179" s="6" t="s">
        <v>7</v>
      </c>
      <c r="B179" s="6" t="str">
        <f>VLOOKUP(A179,Fleet[],2,FALSE)</f>
        <v>Intel</v>
      </c>
      <c r="C179" s="160">
        <v>45673</v>
      </c>
      <c r="D179" s="346">
        <f>YEAR(DATE(YEAR(Runhours_Table[[#This Row],[Date]]-WEEKDAY(Runhours_Table[[#This Row],[Date]]-1)+4),1,1)-MOD((DATE(YEAR(Runhours_Table[[#This Row],[Date]]-WEEKDAY(Runhours_Table[[#This Row],[Date]]-1)+4),1,1)-2),7)+(7*IF(MOD((DATE(YEAR(Runhours_Table[[#This Row],[Date]]-WEEKDAY(Runhours_Table[[#This Row],[Date]]-1)+4),1,1)-2),7)&gt;3,1,0))+7)</f>
        <v>2025</v>
      </c>
      <c r="E179" s="164">
        <f>_xlfn.ISOWEEKNUM(Runhours_Table[[#This Row],[Date]])</f>
        <v>3</v>
      </c>
      <c r="F179" s="160" t="str">
        <f>RIGHT(YEAR(Runhours_Table[[#This Row],[Date]]),2)&amp;TEXT(_xlfn.ISOWEEKNUM(Runhours_Table[[#This Row],[Date]]),"00")</f>
        <v>2503</v>
      </c>
      <c r="G179" s="38">
        <v>9.6</v>
      </c>
      <c r="H179" s="38">
        <v>17</v>
      </c>
      <c r="I179" s="38">
        <f ca="1">_xlfn.ISOWEEKNUM(Runhours_Table[[#This Row],[Date]])+52*(Runhours_Table[[#This Row],[Year]]-YEAR(DATE(YEAR(TODAY()-WEEKDAY(TODAY()-1)+4),1,1)-MOD((DATE(YEAR(TODAY()-WEEKDAY(TODAY()-1)+4),1,1)-2),7)+(7*IF(MOD((DATE(YEAR(TODAY()-WEEKDAY(TODAY()-1)+4),1,1)-2),7)&gt;3,1,0))+7) )-_xlfn.ISOWEEKNUM(NOW())</f>
        <v>-34</v>
      </c>
      <c r="J179" s="345"/>
    </row>
    <row r="180" spans="1:10">
      <c r="A180" s="6" t="s">
        <v>4</v>
      </c>
      <c r="B180" s="6" t="str">
        <f>VLOOKUP(A180,Fleet[],2,FALSE)</f>
        <v>Intel</v>
      </c>
      <c r="C180" s="160">
        <v>45674</v>
      </c>
      <c r="D180" s="346">
        <f>YEAR(DATE(YEAR(Runhours_Table[[#This Row],[Date]]-WEEKDAY(Runhours_Table[[#This Row],[Date]]-1)+4),1,1)-MOD((DATE(YEAR(Runhours_Table[[#This Row],[Date]]-WEEKDAY(Runhours_Table[[#This Row],[Date]]-1)+4),1,1)-2),7)+(7*IF(MOD((DATE(YEAR(Runhours_Table[[#This Row],[Date]]-WEEKDAY(Runhours_Table[[#This Row],[Date]]-1)+4),1,1)-2),7)&gt;3,1,0))+7)</f>
        <v>2025</v>
      </c>
      <c r="E180" s="164">
        <f>_xlfn.ISOWEEKNUM(Runhours_Table[[#This Row],[Date]])</f>
        <v>3</v>
      </c>
      <c r="F180" s="160" t="str">
        <f>RIGHT(YEAR(Runhours_Table[[#This Row],[Date]]),2)&amp;TEXT(_xlfn.ISOWEEKNUM(Runhours_Table[[#This Row],[Date]]),"00")</f>
        <v>2503</v>
      </c>
      <c r="G180" s="38">
        <v>0</v>
      </c>
      <c r="H180" s="38">
        <v>2</v>
      </c>
      <c r="I180" s="38">
        <f ca="1">_xlfn.ISOWEEKNUM(Runhours_Table[[#This Row],[Date]])+52*(Runhours_Table[[#This Row],[Year]]-YEAR(DATE(YEAR(TODAY()-WEEKDAY(TODAY()-1)+4),1,1)-MOD((DATE(YEAR(TODAY()-WEEKDAY(TODAY()-1)+4),1,1)-2),7)+(7*IF(MOD((DATE(YEAR(TODAY()-WEEKDAY(TODAY()-1)+4),1,1)-2),7)&gt;3,1,0))+7) )-_xlfn.ISOWEEKNUM(NOW())</f>
        <v>-34</v>
      </c>
      <c r="J180" s="345"/>
    </row>
    <row r="181" spans="1:10">
      <c r="A181" s="6" t="s">
        <v>7</v>
      </c>
      <c r="B181" s="6" t="str">
        <f>VLOOKUP(A181,Fleet[],2,FALSE)</f>
        <v>Intel</v>
      </c>
      <c r="C181" s="160">
        <v>45674</v>
      </c>
      <c r="D181" s="346">
        <f>YEAR(DATE(YEAR(Runhours_Table[[#This Row],[Date]]-WEEKDAY(Runhours_Table[[#This Row],[Date]]-1)+4),1,1)-MOD((DATE(YEAR(Runhours_Table[[#This Row],[Date]]-WEEKDAY(Runhours_Table[[#This Row],[Date]]-1)+4),1,1)-2),7)+(7*IF(MOD((DATE(YEAR(Runhours_Table[[#This Row],[Date]]-WEEKDAY(Runhours_Table[[#This Row],[Date]]-1)+4),1,1)-2),7)&gt;3,1,0))+7)</f>
        <v>2025</v>
      </c>
      <c r="E181" s="164">
        <f>_xlfn.ISOWEEKNUM(Runhours_Table[[#This Row],[Date]])</f>
        <v>3</v>
      </c>
      <c r="F181" s="160" t="str">
        <f>RIGHT(YEAR(Runhours_Table[[#This Row],[Date]]),2)&amp;TEXT(_xlfn.ISOWEEKNUM(Runhours_Table[[#This Row],[Date]]),"00")</f>
        <v>2503</v>
      </c>
      <c r="G181" s="38">
        <v>7.9</v>
      </c>
      <c r="H181" s="38">
        <v>18</v>
      </c>
      <c r="I181" s="38">
        <f ca="1">_xlfn.ISOWEEKNUM(Runhours_Table[[#This Row],[Date]])+52*(Runhours_Table[[#This Row],[Year]]-YEAR(DATE(YEAR(TODAY()-WEEKDAY(TODAY()-1)+4),1,1)-MOD((DATE(YEAR(TODAY()-WEEKDAY(TODAY()-1)+4),1,1)-2),7)+(7*IF(MOD((DATE(YEAR(TODAY()-WEEKDAY(TODAY()-1)+4),1,1)-2),7)&gt;3,1,0))+7) )-_xlfn.ISOWEEKNUM(NOW())</f>
        <v>-34</v>
      </c>
      <c r="J181" s="345"/>
    </row>
    <row r="182" spans="1:10">
      <c r="A182" s="6" t="s">
        <v>4</v>
      </c>
      <c r="B182" s="6" t="str">
        <f>VLOOKUP(A182,Fleet[],2,FALSE)</f>
        <v>Intel</v>
      </c>
      <c r="C182" s="160">
        <v>45675</v>
      </c>
      <c r="D182" s="346">
        <f>YEAR(DATE(YEAR(Runhours_Table[[#This Row],[Date]]-WEEKDAY(Runhours_Table[[#This Row],[Date]]-1)+4),1,1)-MOD((DATE(YEAR(Runhours_Table[[#This Row],[Date]]-WEEKDAY(Runhours_Table[[#This Row],[Date]]-1)+4),1,1)-2),7)+(7*IF(MOD((DATE(YEAR(Runhours_Table[[#This Row],[Date]]-WEEKDAY(Runhours_Table[[#This Row],[Date]]-1)+4),1,1)-2),7)&gt;3,1,0))+7)</f>
        <v>2025</v>
      </c>
      <c r="E182" s="164">
        <f>_xlfn.ISOWEEKNUM(Runhours_Table[[#This Row],[Date]])</f>
        <v>3</v>
      </c>
      <c r="F182" s="160" t="str">
        <f>RIGHT(YEAR(Runhours_Table[[#This Row],[Date]]),2)&amp;TEXT(_xlfn.ISOWEEKNUM(Runhours_Table[[#This Row],[Date]]),"00")</f>
        <v>2503</v>
      </c>
      <c r="G182" s="38">
        <v>13.2</v>
      </c>
      <c r="H182" s="38">
        <v>23</v>
      </c>
      <c r="I182" s="38">
        <f ca="1">_xlfn.ISOWEEKNUM(Runhours_Table[[#This Row],[Date]])+52*(Runhours_Table[[#This Row],[Year]]-YEAR(DATE(YEAR(TODAY()-WEEKDAY(TODAY()-1)+4),1,1)-MOD((DATE(YEAR(TODAY()-WEEKDAY(TODAY()-1)+4),1,1)-2),7)+(7*IF(MOD((DATE(YEAR(TODAY()-WEEKDAY(TODAY()-1)+4),1,1)-2),7)&gt;3,1,0))+7) )-_xlfn.ISOWEEKNUM(NOW())</f>
        <v>-34</v>
      </c>
      <c r="J182" s="345"/>
    </row>
    <row r="183" spans="1:10">
      <c r="A183" s="6" t="s">
        <v>7</v>
      </c>
      <c r="B183" s="6" t="str">
        <f>VLOOKUP(A183,Fleet[],2,FALSE)</f>
        <v>Intel</v>
      </c>
      <c r="C183" s="160">
        <v>45675</v>
      </c>
      <c r="D183" s="346">
        <f>YEAR(DATE(YEAR(Runhours_Table[[#This Row],[Date]]-WEEKDAY(Runhours_Table[[#This Row],[Date]]-1)+4),1,1)-MOD((DATE(YEAR(Runhours_Table[[#This Row],[Date]]-WEEKDAY(Runhours_Table[[#This Row],[Date]]-1)+4),1,1)-2),7)+(7*IF(MOD((DATE(YEAR(Runhours_Table[[#This Row],[Date]]-WEEKDAY(Runhours_Table[[#This Row],[Date]]-1)+4),1,1)-2),7)&gt;3,1,0))+7)</f>
        <v>2025</v>
      </c>
      <c r="E183" s="164">
        <f>_xlfn.ISOWEEKNUM(Runhours_Table[[#This Row],[Date]])</f>
        <v>3</v>
      </c>
      <c r="F183" s="160" t="str">
        <f>RIGHT(YEAR(Runhours_Table[[#This Row],[Date]]),2)&amp;TEXT(_xlfn.ISOWEEKNUM(Runhours_Table[[#This Row],[Date]]),"00")</f>
        <v>2503</v>
      </c>
      <c r="G183" s="38">
        <v>11.9</v>
      </c>
      <c r="H183" s="38">
        <v>21</v>
      </c>
      <c r="I183" s="38">
        <f ca="1">_xlfn.ISOWEEKNUM(Runhours_Table[[#This Row],[Date]])+52*(Runhours_Table[[#This Row],[Year]]-YEAR(DATE(YEAR(TODAY()-WEEKDAY(TODAY()-1)+4),1,1)-MOD((DATE(YEAR(TODAY()-WEEKDAY(TODAY()-1)+4),1,1)-2),7)+(7*IF(MOD((DATE(YEAR(TODAY()-WEEKDAY(TODAY()-1)+4),1,1)-2),7)&gt;3,1,0))+7) )-_xlfn.ISOWEEKNUM(NOW())</f>
        <v>-34</v>
      </c>
      <c r="J183" s="345"/>
    </row>
    <row r="184" spans="1:10">
      <c r="A184" s="6" t="s">
        <v>4</v>
      </c>
      <c r="B184" s="6" t="str">
        <f>VLOOKUP(A184,Fleet[],2,FALSE)</f>
        <v>Intel</v>
      </c>
      <c r="C184" s="160">
        <v>45676</v>
      </c>
      <c r="D184" s="346">
        <f>YEAR(DATE(YEAR(Runhours_Table[[#This Row],[Date]]-WEEKDAY(Runhours_Table[[#This Row],[Date]]-1)+4),1,1)-MOD((DATE(YEAR(Runhours_Table[[#This Row],[Date]]-WEEKDAY(Runhours_Table[[#This Row],[Date]]-1)+4),1,1)-2),7)+(7*IF(MOD((DATE(YEAR(Runhours_Table[[#This Row],[Date]]-WEEKDAY(Runhours_Table[[#This Row],[Date]]-1)+4),1,1)-2),7)&gt;3,1,0))+7)</f>
        <v>2025</v>
      </c>
      <c r="E184" s="164">
        <f>_xlfn.ISOWEEKNUM(Runhours_Table[[#This Row],[Date]])</f>
        <v>3</v>
      </c>
      <c r="F184" s="160" t="str">
        <f>RIGHT(YEAR(Runhours_Table[[#This Row],[Date]]),2)&amp;TEXT(_xlfn.ISOWEEKNUM(Runhours_Table[[#This Row],[Date]]),"00")</f>
        <v>2503</v>
      </c>
      <c r="G184" s="38">
        <v>7.2</v>
      </c>
      <c r="H184" s="38">
        <v>21</v>
      </c>
      <c r="I184" s="38">
        <f ca="1">_xlfn.ISOWEEKNUM(Runhours_Table[[#This Row],[Date]])+52*(Runhours_Table[[#This Row],[Year]]-YEAR(DATE(YEAR(TODAY()-WEEKDAY(TODAY()-1)+4),1,1)-MOD((DATE(YEAR(TODAY()-WEEKDAY(TODAY()-1)+4),1,1)-2),7)+(7*IF(MOD((DATE(YEAR(TODAY()-WEEKDAY(TODAY()-1)+4),1,1)-2),7)&gt;3,1,0))+7) )-_xlfn.ISOWEEKNUM(NOW())</f>
        <v>-34</v>
      </c>
      <c r="J184" s="345"/>
    </row>
    <row r="185" spans="1:10">
      <c r="A185" s="6" t="s">
        <v>7</v>
      </c>
      <c r="B185" s="6" t="str">
        <f>VLOOKUP(A185,Fleet[],2,FALSE)</f>
        <v>Intel</v>
      </c>
      <c r="C185" s="160">
        <v>45676</v>
      </c>
      <c r="D185" s="346">
        <f>YEAR(DATE(YEAR(Runhours_Table[[#This Row],[Date]]-WEEKDAY(Runhours_Table[[#This Row],[Date]]-1)+4),1,1)-MOD((DATE(YEAR(Runhours_Table[[#This Row],[Date]]-WEEKDAY(Runhours_Table[[#This Row],[Date]]-1)+4),1,1)-2),7)+(7*IF(MOD((DATE(YEAR(Runhours_Table[[#This Row],[Date]]-WEEKDAY(Runhours_Table[[#This Row],[Date]]-1)+4),1,1)-2),7)&gt;3,1,0))+7)</f>
        <v>2025</v>
      </c>
      <c r="E185" s="164">
        <f>_xlfn.ISOWEEKNUM(Runhours_Table[[#This Row],[Date]])</f>
        <v>3</v>
      </c>
      <c r="F185" s="160" t="str">
        <f>RIGHT(YEAR(Runhours_Table[[#This Row],[Date]]),2)&amp;TEXT(_xlfn.ISOWEEKNUM(Runhours_Table[[#This Row],[Date]]),"00")</f>
        <v>2503</v>
      </c>
      <c r="G185" s="38">
        <v>13.7</v>
      </c>
      <c r="H185" s="38">
        <v>20</v>
      </c>
      <c r="I185" s="38">
        <f ca="1">_xlfn.ISOWEEKNUM(Runhours_Table[[#This Row],[Date]])+52*(Runhours_Table[[#This Row],[Year]]-YEAR(DATE(YEAR(TODAY()-WEEKDAY(TODAY()-1)+4),1,1)-MOD((DATE(YEAR(TODAY()-WEEKDAY(TODAY()-1)+4),1,1)-2),7)+(7*IF(MOD((DATE(YEAR(TODAY()-WEEKDAY(TODAY()-1)+4),1,1)-2),7)&gt;3,1,0))+7) )-_xlfn.ISOWEEKNUM(NOW())</f>
        <v>-34</v>
      </c>
      <c r="J185" s="345"/>
    </row>
    <row r="186" spans="1:10">
      <c r="A186" s="6" t="s">
        <v>4</v>
      </c>
      <c r="B186" s="6" t="str">
        <f>VLOOKUP(A186,Fleet[],2,FALSE)</f>
        <v>Intel</v>
      </c>
      <c r="C186" s="160">
        <v>45677</v>
      </c>
      <c r="D186" s="346">
        <f>YEAR(DATE(YEAR(Runhours_Table[[#This Row],[Date]]-WEEKDAY(Runhours_Table[[#This Row],[Date]]-1)+4),1,1)-MOD((DATE(YEAR(Runhours_Table[[#This Row],[Date]]-WEEKDAY(Runhours_Table[[#This Row],[Date]]-1)+4),1,1)-2),7)+(7*IF(MOD((DATE(YEAR(Runhours_Table[[#This Row],[Date]]-WEEKDAY(Runhours_Table[[#This Row],[Date]]-1)+4),1,1)-2),7)&gt;3,1,0))+7)</f>
        <v>2025</v>
      </c>
      <c r="E186" s="164">
        <f>_xlfn.ISOWEEKNUM(Runhours_Table[[#This Row],[Date]])</f>
        <v>4</v>
      </c>
      <c r="F186" s="160" t="str">
        <f>RIGHT(YEAR(Runhours_Table[[#This Row],[Date]]),2)&amp;TEXT(_xlfn.ISOWEEKNUM(Runhours_Table[[#This Row],[Date]]),"00")</f>
        <v>2504</v>
      </c>
      <c r="G186" s="38">
        <v>4.4000000000000004</v>
      </c>
      <c r="H186" s="38">
        <v>19</v>
      </c>
      <c r="I186" s="38">
        <f ca="1">_xlfn.ISOWEEKNUM(Runhours_Table[[#This Row],[Date]])+52*(Runhours_Table[[#This Row],[Year]]-YEAR(DATE(YEAR(TODAY()-WEEKDAY(TODAY()-1)+4),1,1)-MOD((DATE(YEAR(TODAY()-WEEKDAY(TODAY()-1)+4),1,1)-2),7)+(7*IF(MOD((DATE(YEAR(TODAY()-WEEKDAY(TODAY()-1)+4),1,1)-2),7)&gt;3,1,0))+7) )-_xlfn.ISOWEEKNUM(NOW())</f>
        <v>-33</v>
      </c>
      <c r="J186" s="345"/>
    </row>
    <row r="187" spans="1:10">
      <c r="A187" s="6" t="s">
        <v>7</v>
      </c>
      <c r="B187" s="6" t="str">
        <f>VLOOKUP(A187,Fleet[],2,FALSE)</f>
        <v>Intel</v>
      </c>
      <c r="C187" s="160">
        <v>45677</v>
      </c>
      <c r="D187" s="346">
        <f>YEAR(DATE(YEAR(Runhours_Table[[#This Row],[Date]]-WEEKDAY(Runhours_Table[[#This Row],[Date]]-1)+4),1,1)-MOD((DATE(YEAR(Runhours_Table[[#This Row],[Date]]-WEEKDAY(Runhours_Table[[#This Row],[Date]]-1)+4),1,1)-2),7)+(7*IF(MOD((DATE(YEAR(Runhours_Table[[#This Row],[Date]]-WEEKDAY(Runhours_Table[[#This Row],[Date]]-1)+4),1,1)-2),7)&gt;3,1,0))+7)</f>
        <v>2025</v>
      </c>
      <c r="E187" s="164">
        <f>_xlfn.ISOWEEKNUM(Runhours_Table[[#This Row],[Date]])</f>
        <v>4</v>
      </c>
      <c r="F187" s="160" t="str">
        <f>RIGHT(YEAR(Runhours_Table[[#This Row],[Date]]),2)&amp;TEXT(_xlfn.ISOWEEKNUM(Runhours_Table[[#This Row],[Date]]),"00")</f>
        <v>2504</v>
      </c>
      <c r="G187" s="38">
        <v>9.6999999999999993</v>
      </c>
      <c r="H187" s="38">
        <v>11</v>
      </c>
      <c r="I187" s="38">
        <f ca="1">_xlfn.ISOWEEKNUM(Runhours_Table[[#This Row],[Date]])+52*(Runhours_Table[[#This Row],[Year]]-YEAR(DATE(YEAR(TODAY()-WEEKDAY(TODAY()-1)+4),1,1)-MOD((DATE(YEAR(TODAY()-WEEKDAY(TODAY()-1)+4),1,1)-2),7)+(7*IF(MOD((DATE(YEAR(TODAY()-WEEKDAY(TODAY()-1)+4),1,1)-2),7)&gt;3,1,0))+7) )-_xlfn.ISOWEEKNUM(NOW())</f>
        <v>-33</v>
      </c>
      <c r="J187" s="345"/>
    </row>
    <row r="188" spans="1:10">
      <c r="A188" s="6" t="s">
        <v>4</v>
      </c>
      <c r="B188" s="6" t="str">
        <f>VLOOKUP(A188,Fleet[],2,FALSE)</f>
        <v>Intel</v>
      </c>
      <c r="C188" s="160">
        <v>45678</v>
      </c>
      <c r="D188" s="346">
        <f>YEAR(DATE(YEAR(Runhours_Table[[#This Row],[Date]]-WEEKDAY(Runhours_Table[[#This Row],[Date]]-1)+4),1,1)-MOD((DATE(YEAR(Runhours_Table[[#This Row],[Date]]-WEEKDAY(Runhours_Table[[#This Row],[Date]]-1)+4),1,1)-2),7)+(7*IF(MOD((DATE(YEAR(Runhours_Table[[#This Row],[Date]]-WEEKDAY(Runhours_Table[[#This Row],[Date]]-1)+4),1,1)-2),7)&gt;3,1,0))+7)</f>
        <v>2025</v>
      </c>
      <c r="E188" s="164">
        <f>_xlfn.ISOWEEKNUM(Runhours_Table[[#This Row],[Date]])</f>
        <v>4</v>
      </c>
      <c r="F188" s="160" t="str">
        <f>RIGHT(YEAR(Runhours_Table[[#This Row],[Date]]),2)&amp;TEXT(_xlfn.ISOWEEKNUM(Runhours_Table[[#This Row],[Date]]),"00")</f>
        <v>2504</v>
      </c>
      <c r="G188" s="38">
        <v>2.3972220000000002</v>
      </c>
      <c r="H188" s="38">
        <v>23</v>
      </c>
      <c r="I188" s="38">
        <f ca="1">_xlfn.ISOWEEKNUM(Runhours_Table[[#This Row],[Date]])+52*(Runhours_Table[[#This Row],[Year]]-YEAR(DATE(YEAR(TODAY()-WEEKDAY(TODAY()-1)+4),1,1)-MOD((DATE(YEAR(TODAY()-WEEKDAY(TODAY()-1)+4),1,1)-2),7)+(7*IF(MOD((DATE(YEAR(TODAY()-WEEKDAY(TODAY()-1)+4),1,1)-2),7)&gt;3,1,0))+7) )-_xlfn.ISOWEEKNUM(NOW())</f>
        <v>-33</v>
      </c>
      <c r="J188" s="345"/>
    </row>
    <row r="189" spans="1:10">
      <c r="A189" s="6" t="s">
        <v>7</v>
      </c>
      <c r="B189" s="6" t="str">
        <f>VLOOKUP(A189,Fleet[],2,FALSE)</f>
        <v>Intel</v>
      </c>
      <c r="C189" s="160">
        <v>45678</v>
      </c>
      <c r="D189" s="346">
        <f>YEAR(DATE(YEAR(Runhours_Table[[#This Row],[Date]]-WEEKDAY(Runhours_Table[[#This Row],[Date]]-1)+4),1,1)-MOD((DATE(YEAR(Runhours_Table[[#This Row],[Date]]-WEEKDAY(Runhours_Table[[#This Row],[Date]]-1)+4),1,1)-2),7)+(7*IF(MOD((DATE(YEAR(Runhours_Table[[#This Row],[Date]]-WEEKDAY(Runhours_Table[[#This Row],[Date]]-1)+4),1,1)-2),7)&gt;3,1,0))+7)</f>
        <v>2025</v>
      </c>
      <c r="E189" s="164">
        <f>_xlfn.ISOWEEKNUM(Runhours_Table[[#This Row],[Date]])</f>
        <v>4</v>
      </c>
      <c r="F189" s="160" t="str">
        <f>RIGHT(YEAR(Runhours_Table[[#This Row],[Date]]),2)&amp;TEXT(_xlfn.ISOWEEKNUM(Runhours_Table[[#This Row],[Date]]),"00")</f>
        <v>2504</v>
      </c>
      <c r="G189" s="38">
        <v>4.8883330000000003</v>
      </c>
      <c r="H189" s="38">
        <v>12</v>
      </c>
      <c r="I189" s="38">
        <f ca="1">_xlfn.ISOWEEKNUM(Runhours_Table[[#This Row],[Date]])+52*(Runhours_Table[[#This Row],[Year]]-YEAR(DATE(YEAR(TODAY()-WEEKDAY(TODAY()-1)+4),1,1)-MOD((DATE(YEAR(TODAY()-WEEKDAY(TODAY()-1)+4),1,1)-2),7)+(7*IF(MOD((DATE(YEAR(TODAY()-WEEKDAY(TODAY()-1)+4),1,1)-2),7)&gt;3,1,0))+7) )-_xlfn.ISOWEEKNUM(NOW())</f>
        <v>-33</v>
      </c>
      <c r="J189" s="345"/>
    </row>
    <row r="190" spans="1:10">
      <c r="A190" s="6" t="s">
        <v>4</v>
      </c>
      <c r="B190" s="6" t="str">
        <f>VLOOKUP(A190,Fleet[],2,FALSE)</f>
        <v>Intel</v>
      </c>
      <c r="C190" s="160">
        <v>45679</v>
      </c>
      <c r="D190" s="346">
        <f>YEAR(DATE(YEAR(Runhours_Table[[#This Row],[Date]]-WEEKDAY(Runhours_Table[[#This Row],[Date]]-1)+4),1,1)-MOD((DATE(YEAR(Runhours_Table[[#This Row],[Date]]-WEEKDAY(Runhours_Table[[#This Row],[Date]]-1)+4),1,1)-2),7)+(7*IF(MOD((DATE(YEAR(Runhours_Table[[#This Row],[Date]]-WEEKDAY(Runhours_Table[[#This Row],[Date]]-1)+4),1,1)-2),7)&gt;3,1,0))+7)</f>
        <v>2025</v>
      </c>
      <c r="E190" s="164">
        <f>_xlfn.ISOWEEKNUM(Runhours_Table[[#This Row],[Date]])</f>
        <v>4</v>
      </c>
      <c r="F190" s="160" t="str">
        <f>RIGHT(YEAR(Runhours_Table[[#This Row],[Date]]),2)&amp;TEXT(_xlfn.ISOWEEKNUM(Runhours_Table[[#This Row],[Date]]),"00")</f>
        <v>2504</v>
      </c>
      <c r="G190" s="38">
        <v>4.2766669999999998</v>
      </c>
      <c r="H190" s="38">
        <v>23</v>
      </c>
      <c r="I190" s="38">
        <f ca="1">_xlfn.ISOWEEKNUM(Runhours_Table[[#This Row],[Date]])+52*(Runhours_Table[[#This Row],[Year]]-YEAR(DATE(YEAR(TODAY()-WEEKDAY(TODAY()-1)+4),1,1)-MOD((DATE(YEAR(TODAY()-WEEKDAY(TODAY()-1)+4),1,1)-2),7)+(7*IF(MOD((DATE(YEAR(TODAY()-WEEKDAY(TODAY()-1)+4),1,1)-2),7)&gt;3,1,0))+7) )-_xlfn.ISOWEEKNUM(NOW())</f>
        <v>-33</v>
      </c>
      <c r="J190" s="345"/>
    </row>
    <row r="191" spans="1:10">
      <c r="A191" s="6" t="s">
        <v>7</v>
      </c>
      <c r="B191" s="6" t="str">
        <f>VLOOKUP(A191,Fleet[],2,FALSE)</f>
        <v>Intel</v>
      </c>
      <c r="C191" s="160">
        <v>45679</v>
      </c>
      <c r="D191" s="346">
        <f>YEAR(DATE(YEAR(Runhours_Table[[#This Row],[Date]]-WEEKDAY(Runhours_Table[[#This Row],[Date]]-1)+4),1,1)-MOD((DATE(YEAR(Runhours_Table[[#This Row],[Date]]-WEEKDAY(Runhours_Table[[#This Row],[Date]]-1)+4),1,1)-2),7)+(7*IF(MOD((DATE(YEAR(Runhours_Table[[#This Row],[Date]]-WEEKDAY(Runhours_Table[[#This Row],[Date]]-1)+4),1,1)-2),7)&gt;3,1,0))+7)</f>
        <v>2025</v>
      </c>
      <c r="E191" s="164">
        <f>_xlfn.ISOWEEKNUM(Runhours_Table[[#This Row],[Date]])</f>
        <v>4</v>
      </c>
      <c r="F191" s="160" t="str">
        <f>RIGHT(YEAR(Runhours_Table[[#This Row],[Date]]),2)&amp;TEXT(_xlfn.ISOWEEKNUM(Runhours_Table[[#This Row],[Date]]),"00")</f>
        <v>2504</v>
      </c>
      <c r="G191" s="38">
        <v>13.956666999999999</v>
      </c>
      <c r="H191" s="38">
        <v>22</v>
      </c>
      <c r="I191" s="38">
        <f ca="1">_xlfn.ISOWEEKNUM(Runhours_Table[[#This Row],[Date]])+52*(Runhours_Table[[#This Row],[Year]]-YEAR(DATE(YEAR(TODAY()-WEEKDAY(TODAY()-1)+4),1,1)-MOD((DATE(YEAR(TODAY()-WEEKDAY(TODAY()-1)+4),1,1)-2),7)+(7*IF(MOD((DATE(YEAR(TODAY()-WEEKDAY(TODAY()-1)+4),1,1)-2),7)&gt;3,1,0))+7) )-_xlfn.ISOWEEKNUM(NOW())</f>
        <v>-33</v>
      </c>
      <c r="J191" s="345"/>
    </row>
    <row r="192" spans="1:10">
      <c r="A192" s="6" t="s">
        <v>4</v>
      </c>
      <c r="B192" s="6" t="str">
        <f>VLOOKUP(A192,Fleet[],2,FALSE)</f>
        <v>Intel</v>
      </c>
      <c r="C192" s="160">
        <v>45680</v>
      </c>
      <c r="D192" s="346">
        <f>YEAR(DATE(YEAR(Runhours_Table[[#This Row],[Date]]-WEEKDAY(Runhours_Table[[#This Row],[Date]]-1)+4),1,1)-MOD((DATE(YEAR(Runhours_Table[[#This Row],[Date]]-WEEKDAY(Runhours_Table[[#This Row],[Date]]-1)+4),1,1)-2),7)+(7*IF(MOD((DATE(YEAR(Runhours_Table[[#This Row],[Date]]-WEEKDAY(Runhours_Table[[#This Row],[Date]]-1)+4),1,1)-2),7)&gt;3,1,0))+7)</f>
        <v>2025</v>
      </c>
      <c r="E192" s="164">
        <f>_xlfn.ISOWEEKNUM(Runhours_Table[[#This Row],[Date]])</f>
        <v>4</v>
      </c>
      <c r="F192" s="160" t="str">
        <f>RIGHT(YEAR(Runhours_Table[[#This Row],[Date]]),2)&amp;TEXT(_xlfn.ISOWEEKNUM(Runhours_Table[[#This Row],[Date]]),"00")</f>
        <v>2504</v>
      </c>
      <c r="G192" s="38">
        <v>10.268056</v>
      </c>
      <c r="H192" s="38">
        <v>21</v>
      </c>
      <c r="I192" s="38">
        <f ca="1">_xlfn.ISOWEEKNUM(Runhours_Table[[#This Row],[Date]])+52*(Runhours_Table[[#This Row],[Year]]-YEAR(DATE(YEAR(TODAY()-WEEKDAY(TODAY()-1)+4),1,1)-MOD((DATE(YEAR(TODAY()-WEEKDAY(TODAY()-1)+4),1,1)-2),7)+(7*IF(MOD((DATE(YEAR(TODAY()-WEEKDAY(TODAY()-1)+4),1,1)-2),7)&gt;3,1,0))+7) )-_xlfn.ISOWEEKNUM(NOW())</f>
        <v>-33</v>
      </c>
      <c r="J192" s="345"/>
    </row>
    <row r="193" spans="1:10">
      <c r="A193" s="6" t="s">
        <v>7</v>
      </c>
      <c r="B193" s="6" t="str">
        <f>VLOOKUP(A193,Fleet[],2,FALSE)</f>
        <v>Intel</v>
      </c>
      <c r="C193" s="160">
        <v>45680</v>
      </c>
      <c r="D193" s="346">
        <f>YEAR(DATE(YEAR(Runhours_Table[[#This Row],[Date]]-WEEKDAY(Runhours_Table[[#This Row],[Date]]-1)+4),1,1)-MOD((DATE(YEAR(Runhours_Table[[#This Row],[Date]]-WEEKDAY(Runhours_Table[[#This Row],[Date]]-1)+4),1,1)-2),7)+(7*IF(MOD((DATE(YEAR(Runhours_Table[[#This Row],[Date]]-WEEKDAY(Runhours_Table[[#This Row],[Date]]-1)+4),1,1)-2),7)&gt;3,1,0))+7)</f>
        <v>2025</v>
      </c>
      <c r="E193" s="164">
        <f>_xlfn.ISOWEEKNUM(Runhours_Table[[#This Row],[Date]])</f>
        <v>4</v>
      </c>
      <c r="F193" s="160" t="str">
        <f>RIGHT(YEAR(Runhours_Table[[#This Row],[Date]]),2)&amp;TEXT(_xlfn.ISOWEEKNUM(Runhours_Table[[#This Row],[Date]]),"00")</f>
        <v>2504</v>
      </c>
      <c r="G193" s="38">
        <v>16.353055999999999</v>
      </c>
      <c r="H193" s="38">
        <v>21</v>
      </c>
      <c r="I193" s="38">
        <f ca="1">_xlfn.ISOWEEKNUM(Runhours_Table[[#This Row],[Date]])+52*(Runhours_Table[[#This Row],[Year]]-YEAR(DATE(YEAR(TODAY()-WEEKDAY(TODAY()-1)+4),1,1)-MOD((DATE(YEAR(TODAY()-WEEKDAY(TODAY()-1)+4),1,1)-2),7)+(7*IF(MOD((DATE(YEAR(TODAY()-WEEKDAY(TODAY()-1)+4),1,1)-2),7)&gt;3,1,0))+7) )-_xlfn.ISOWEEKNUM(NOW())</f>
        <v>-33</v>
      </c>
      <c r="J193" s="345"/>
    </row>
    <row r="194" spans="1:10">
      <c r="A194" s="6" t="s">
        <v>4</v>
      </c>
      <c r="B194" s="6" t="str">
        <f>VLOOKUP(A194,Fleet[],2,FALSE)</f>
        <v>Intel</v>
      </c>
      <c r="C194" s="160">
        <v>45681</v>
      </c>
      <c r="D194" s="346">
        <f>YEAR(DATE(YEAR(Runhours_Table[[#This Row],[Date]]-WEEKDAY(Runhours_Table[[#This Row],[Date]]-1)+4),1,1)-MOD((DATE(YEAR(Runhours_Table[[#This Row],[Date]]-WEEKDAY(Runhours_Table[[#This Row],[Date]]-1)+4),1,1)-2),7)+(7*IF(MOD((DATE(YEAR(Runhours_Table[[#This Row],[Date]]-WEEKDAY(Runhours_Table[[#This Row],[Date]]-1)+4),1,1)-2),7)&gt;3,1,0))+7)</f>
        <v>2025</v>
      </c>
      <c r="E194" s="164">
        <f>_xlfn.ISOWEEKNUM(Runhours_Table[[#This Row],[Date]])</f>
        <v>4</v>
      </c>
      <c r="F194" s="160" t="str">
        <f>RIGHT(YEAR(Runhours_Table[[#This Row],[Date]]),2)&amp;TEXT(_xlfn.ISOWEEKNUM(Runhours_Table[[#This Row],[Date]]),"00")</f>
        <v>2504</v>
      </c>
      <c r="G194" s="38">
        <v>8.6577780000000004</v>
      </c>
      <c r="H194" s="38">
        <v>17</v>
      </c>
      <c r="I194" s="38">
        <f ca="1">_xlfn.ISOWEEKNUM(Runhours_Table[[#This Row],[Date]])+52*(Runhours_Table[[#This Row],[Year]]-YEAR(DATE(YEAR(TODAY()-WEEKDAY(TODAY()-1)+4),1,1)-MOD((DATE(YEAR(TODAY()-WEEKDAY(TODAY()-1)+4),1,1)-2),7)+(7*IF(MOD((DATE(YEAR(TODAY()-WEEKDAY(TODAY()-1)+4),1,1)-2),7)&gt;3,1,0))+7) )-_xlfn.ISOWEEKNUM(NOW())</f>
        <v>-33</v>
      </c>
      <c r="J194" s="345"/>
    </row>
    <row r="195" spans="1:10">
      <c r="A195" s="6" t="s">
        <v>7</v>
      </c>
      <c r="B195" s="6" t="str">
        <f>VLOOKUP(A195,Fleet[],2,FALSE)</f>
        <v>Intel</v>
      </c>
      <c r="C195" s="160">
        <v>45681</v>
      </c>
      <c r="D195" s="346">
        <f>YEAR(DATE(YEAR(Runhours_Table[[#This Row],[Date]]-WEEKDAY(Runhours_Table[[#This Row],[Date]]-1)+4),1,1)-MOD((DATE(YEAR(Runhours_Table[[#This Row],[Date]]-WEEKDAY(Runhours_Table[[#This Row],[Date]]-1)+4),1,1)-2),7)+(7*IF(MOD((DATE(YEAR(Runhours_Table[[#This Row],[Date]]-WEEKDAY(Runhours_Table[[#This Row],[Date]]-1)+4),1,1)-2),7)&gt;3,1,0))+7)</f>
        <v>2025</v>
      </c>
      <c r="E195" s="164">
        <f>_xlfn.ISOWEEKNUM(Runhours_Table[[#This Row],[Date]])</f>
        <v>4</v>
      </c>
      <c r="F195" s="160" t="str">
        <f>RIGHT(YEAR(Runhours_Table[[#This Row],[Date]]),2)&amp;TEXT(_xlfn.ISOWEEKNUM(Runhours_Table[[#This Row],[Date]]),"00")</f>
        <v>2504</v>
      </c>
      <c r="G195" s="38">
        <v>5.763611</v>
      </c>
      <c r="H195" s="38">
        <v>12</v>
      </c>
      <c r="I195" s="38">
        <f ca="1">_xlfn.ISOWEEKNUM(Runhours_Table[[#This Row],[Date]])+52*(Runhours_Table[[#This Row],[Year]]-YEAR(DATE(YEAR(TODAY()-WEEKDAY(TODAY()-1)+4),1,1)-MOD((DATE(YEAR(TODAY()-WEEKDAY(TODAY()-1)+4),1,1)-2),7)+(7*IF(MOD((DATE(YEAR(TODAY()-WEEKDAY(TODAY()-1)+4),1,1)-2),7)&gt;3,1,0))+7) )-_xlfn.ISOWEEKNUM(NOW())</f>
        <v>-33</v>
      </c>
      <c r="J195" s="345"/>
    </row>
    <row r="196" spans="1:10">
      <c r="A196" s="6" t="s">
        <v>4</v>
      </c>
      <c r="B196" s="6" t="str">
        <f>VLOOKUP(A196,Fleet[],2,FALSE)</f>
        <v>Intel</v>
      </c>
      <c r="C196" s="160">
        <v>45682</v>
      </c>
      <c r="D196" s="346">
        <f>YEAR(DATE(YEAR(Runhours_Table[[#This Row],[Date]]-WEEKDAY(Runhours_Table[[#This Row],[Date]]-1)+4),1,1)-MOD((DATE(YEAR(Runhours_Table[[#This Row],[Date]]-WEEKDAY(Runhours_Table[[#This Row],[Date]]-1)+4),1,1)-2),7)+(7*IF(MOD((DATE(YEAR(Runhours_Table[[#This Row],[Date]]-WEEKDAY(Runhours_Table[[#This Row],[Date]]-1)+4),1,1)-2),7)&gt;3,1,0))+7)</f>
        <v>2025</v>
      </c>
      <c r="E196" s="164">
        <f>_xlfn.ISOWEEKNUM(Runhours_Table[[#This Row],[Date]])</f>
        <v>4</v>
      </c>
      <c r="F196" s="160" t="str">
        <f>RIGHT(YEAR(Runhours_Table[[#This Row],[Date]]),2)&amp;TEXT(_xlfn.ISOWEEKNUM(Runhours_Table[[#This Row],[Date]]),"00")</f>
        <v>2504</v>
      </c>
      <c r="G196" s="38">
        <v>12.891667</v>
      </c>
      <c r="H196" s="38">
        <v>21</v>
      </c>
      <c r="I196" s="38">
        <f ca="1">_xlfn.ISOWEEKNUM(Runhours_Table[[#This Row],[Date]])+52*(Runhours_Table[[#This Row],[Year]]-YEAR(DATE(YEAR(TODAY()-WEEKDAY(TODAY()-1)+4),1,1)-MOD((DATE(YEAR(TODAY()-WEEKDAY(TODAY()-1)+4),1,1)-2),7)+(7*IF(MOD((DATE(YEAR(TODAY()-WEEKDAY(TODAY()-1)+4),1,1)-2),7)&gt;3,1,0))+7) )-_xlfn.ISOWEEKNUM(NOW())</f>
        <v>-33</v>
      </c>
      <c r="J196" s="345"/>
    </row>
    <row r="197" spans="1:10">
      <c r="A197" s="6" t="s">
        <v>7</v>
      </c>
      <c r="B197" s="6" t="str">
        <f>VLOOKUP(A197,Fleet[],2,FALSE)</f>
        <v>Intel</v>
      </c>
      <c r="C197" s="160">
        <v>45682</v>
      </c>
      <c r="D197" s="346">
        <f>YEAR(DATE(YEAR(Runhours_Table[[#This Row],[Date]]-WEEKDAY(Runhours_Table[[#This Row],[Date]]-1)+4),1,1)-MOD((DATE(YEAR(Runhours_Table[[#This Row],[Date]]-WEEKDAY(Runhours_Table[[#This Row],[Date]]-1)+4),1,1)-2),7)+(7*IF(MOD((DATE(YEAR(Runhours_Table[[#This Row],[Date]]-WEEKDAY(Runhours_Table[[#This Row],[Date]]-1)+4),1,1)-2),7)&gt;3,1,0))+7)</f>
        <v>2025</v>
      </c>
      <c r="E197" s="164">
        <f>_xlfn.ISOWEEKNUM(Runhours_Table[[#This Row],[Date]])</f>
        <v>4</v>
      </c>
      <c r="F197" s="160" t="str">
        <f>RIGHT(YEAR(Runhours_Table[[#This Row],[Date]]),2)&amp;TEXT(_xlfn.ISOWEEKNUM(Runhours_Table[[#This Row],[Date]]),"00")</f>
        <v>2504</v>
      </c>
      <c r="G197" s="38">
        <v>14.12</v>
      </c>
      <c r="H197" s="38">
        <v>17</v>
      </c>
      <c r="I197" s="38">
        <f ca="1">_xlfn.ISOWEEKNUM(Runhours_Table[[#This Row],[Date]])+52*(Runhours_Table[[#This Row],[Year]]-YEAR(DATE(YEAR(TODAY()-WEEKDAY(TODAY()-1)+4),1,1)-MOD((DATE(YEAR(TODAY()-WEEKDAY(TODAY()-1)+4),1,1)-2),7)+(7*IF(MOD((DATE(YEAR(TODAY()-WEEKDAY(TODAY()-1)+4),1,1)-2),7)&gt;3,1,0))+7) )-_xlfn.ISOWEEKNUM(NOW())</f>
        <v>-33</v>
      </c>
      <c r="J197" s="345"/>
    </row>
    <row r="198" spans="1:10">
      <c r="A198" s="6" t="s">
        <v>4</v>
      </c>
      <c r="B198" s="6" t="str">
        <f>VLOOKUP(A198,Fleet[],2,FALSE)</f>
        <v>Intel</v>
      </c>
      <c r="C198" s="160">
        <v>45683</v>
      </c>
      <c r="D198" s="346">
        <f>YEAR(DATE(YEAR(Runhours_Table[[#This Row],[Date]]-WEEKDAY(Runhours_Table[[#This Row],[Date]]-1)+4),1,1)-MOD((DATE(YEAR(Runhours_Table[[#This Row],[Date]]-WEEKDAY(Runhours_Table[[#This Row],[Date]]-1)+4),1,1)-2),7)+(7*IF(MOD((DATE(YEAR(Runhours_Table[[#This Row],[Date]]-WEEKDAY(Runhours_Table[[#This Row],[Date]]-1)+4),1,1)-2),7)&gt;3,1,0))+7)</f>
        <v>2025</v>
      </c>
      <c r="E198" s="164">
        <f>_xlfn.ISOWEEKNUM(Runhours_Table[[#This Row],[Date]])</f>
        <v>4</v>
      </c>
      <c r="F198" s="160" t="str">
        <f>RIGHT(YEAR(Runhours_Table[[#This Row],[Date]]),2)&amp;TEXT(_xlfn.ISOWEEKNUM(Runhours_Table[[#This Row],[Date]]),"00")</f>
        <v>2504</v>
      </c>
      <c r="G198" s="38">
        <v>19.494167000000001</v>
      </c>
      <c r="H198" s="38">
        <v>0</v>
      </c>
      <c r="I198" s="38">
        <f ca="1">_xlfn.ISOWEEKNUM(Runhours_Table[[#This Row],[Date]])+52*(Runhours_Table[[#This Row],[Year]]-YEAR(DATE(YEAR(TODAY()-WEEKDAY(TODAY()-1)+4),1,1)-MOD((DATE(YEAR(TODAY()-WEEKDAY(TODAY()-1)+4),1,1)-2),7)+(7*IF(MOD((DATE(YEAR(TODAY()-WEEKDAY(TODAY()-1)+4),1,1)-2),7)&gt;3,1,0))+7) )-_xlfn.ISOWEEKNUM(NOW())</f>
        <v>-33</v>
      </c>
      <c r="J198" s="345"/>
    </row>
    <row r="199" spans="1:10">
      <c r="A199" s="6" t="s">
        <v>7</v>
      </c>
      <c r="B199" s="6" t="str">
        <f>VLOOKUP(A199,Fleet[],2,FALSE)</f>
        <v>Intel</v>
      </c>
      <c r="C199" s="160">
        <v>45683</v>
      </c>
      <c r="D199" s="346">
        <f>YEAR(DATE(YEAR(Runhours_Table[[#This Row],[Date]]-WEEKDAY(Runhours_Table[[#This Row],[Date]]-1)+4),1,1)-MOD((DATE(YEAR(Runhours_Table[[#This Row],[Date]]-WEEKDAY(Runhours_Table[[#This Row],[Date]]-1)+4),1,1)-2),7)+(7*IF(MOD((DATE(YEAR(Runhours_Table[[#This Row],[Date]]-WEEKDAY(Runhours_Table[[#This Row],[Date]]-1)+4),1,1)-2),7)&gt;3,1,0))+7)</f>
        <v>2025</v>
      </c>
      <c r="E199" s="164">
        <f>_xlfn.ISOWEEKNUM(Runhours_Table[[#This Row],[Date]])</f>
        <v>4</v>
      </c>
      <c r="F199" s="160" t="str">
        <f>RIGHT(YEAR(Runhours_Table[[#This Row],[Date]]),2)&amp;TEXT(_xlfn.ISOWEEKNUM(Runhours_Table[[#This Row],[Date]]),"00")</f>
        <v>2504</v>
      </c>
      <c r="G199" s="38">
        <v>13.962778</v>
      </c>
      <c r="H199" s="38">
        <v>17</v>
      </c>
      <c r="I199" s="38">
        <f ca="1">_xlfn.ISOWEEKNUM(Runhours_Table[[#This Row],[Date]])+52*(Runhours_Table[[#This Row],[Year]]-YEAR(DATE(YEAR(TODAY()-WEEKDAY(TODAY()-1)+4),1,1)-MOD((DATE(YEAR(TODAY()-WEEKDAY(TODAY()-1)+4),1,1)-2),7)+(7*IF(MOD((DATE(YEAR(TODAY()-WEEKDAY(TODAY()-1)+4),1,1)-2),7)&gt;3,1,0))+7) )-_xlfn.ISOWEEKNUM(NOW())</f>
        <v>-33</v>
      </c>
      <c r="J199" s="345"/>
    </row>
    <row r="200" spans="1:10">
      <c r="A200" s="6" t="s">
        <v>4</v>
      </c>
      <c r="B200" s="6" t="str">
        <f>VLOOKUP(A200,Fleet[],2,FALSE)</f>
        <v>Intel</v>
      </c>
      <c r="C200" s="160">
        <v>45684</v>
      </c>
      <c r="D200" s="346">
        <f>YEAR(DATE(YEAR(Runhours_Table[[#This Row],[Date]]-WEEKDAY(Runhours_Table[[#This Row],[Date]]-1)+4),1,1)-MOD((DATE(YEAR(Runhours_Table[[#This Row],[Date]]-WEEKDAY(Runhours_Table[[#This Row],[Date]]-1)+4),1,1)-2),7)+(7*IF(MOD((DATE(YEAR(Runhours_Table[[#This Row],[Date]]-WEEKDAY(Runhours_Table[[#This Row],[Date]]-1)+4),1,1)-2),7)&gt;3,1,0))+7)</f>
        <v>2025</v>
      </c>
      <c r="E200" s="164">
        <f>_xlfn.ISOWEEKNUM(Runhours_Table[[#This Row],[Date]])</f>
        <v>5</v>
      </c>
      <c r="F200" s="160" t="str">
        <f>RIGHT(YEAR(Runhours_Table[[#This Row],[Date]]),2)&amp;TEXT(_xlfn.ISOWEEKNUM(Runhours_Table[[#This Row],[Date]]),"00")</f>
        <v>2505</v>
      </c>
      <c r="G200" s="38">
        <v>11.103332999999999</v>
      </c>
      <c r="H200" s="38">
        <v>0</v>
      </c>
      <c r="I200" s="38">
        <f ca="1">_xlfn.ISOWEEKNUM(Runhours_Table[[#This Row],[Date]])+52*(Runhours_Table[[#This Row],[Year]]-YEAR(DATE(YEAR(TODAY()-WEEKDAY(TODAY()-1)+4),1,1)-MOD((DATE(YEAR(TODAY()-WEEKDAY(TODAY()-1)+4),1,1)-2),7)+(7*IF(MOD((DATE(YEAR(TODAY()-WEEKDAY(TODAY()-1)+4),1,1)-2),7)&gt;3,1,0))+7) )-_xlfn.ISOWEEKNUM(NOW())</f>
        <v>-32</v>
      </c>
      <c r="J200" s="345"/>
    </row>
    <row r="201" spans="1:10">
      <c r="A201" s="6" t="s">
        <v>7</v>
      </c>
      <c r="B201" s="6" t="str">
        <f>VLOOKUP(A201,Fleet[],2,FALSE)</f>
        <v>Intel</v>
      </c>
      <c r="C201" s="160">
        <v>45684</v>
      </c>
      <c r="D201" s="346">
        <f>YEAR(DATE(YEAR(Runhours_Table[[#This Row],[Date]]-WEEKDAY(Runhours_Table[[#This Row],[Date]]-1)+4),1,1)-MOD((DATE(YEAR(Runhours_Table[[#This Row],[Date]]-WEEKDAY(Runhours_Table[[#This Row],[Date]]-1)+4),1,1)-2),7)+(7*IF(MOD((DATE(YEAR(Runhours_Table[[#This Row],[Date]]-WEEKDAY(Runhours_Table[[#This Row],[Date]]-1)+4),1,1)-2),7)&gt;3,1,0))+7)</f>
        <v>2025</v>
      </c>
      <c r="E201" s="164">
        <f>_xlfn.ISOWEEKNUM(Runhours_Table[[#This Row],[Date]])</f>
        <v>5</v>
      </c>
      <c r="F201" s="160" t="str">
        <f>RIGHT(YEAR(Runhours_Table[[#This Row],[Date]]),2)&amp;TEXT(_xlfn.ISOWEEKNUM(Runhours_Table[[#This Row],[Date]]),"00")</f>
        <v>2505</v>
      </c>
      <c r="G201" s="38">
        <v>18.827777999999999</v>
      </c>
      <c r="H201" s="38">
        <v>23</v>
      </c>
      <c r="I201" s="38">
        <f ca="1">_xlfn.ISOWEEKNUM(Runhours_Table[[#This Row],[Date]])+52*(Runhours_Table[[#This Row],[Year]]-YEAR(DATE(YEAR(TODAY()-WEEKDAY(TODAY()-1)+4),1,1)-MOD((DATE(YEAR(TODAY()-WEEKDAY(TODAY()-1)+4),1,1)-2),7)+(7*IF(MOD((DATE(YEAR(TODAY()-WEEKDAY(TODAY()-1)+4),1,1)-2),7)&gt;3,1,0))+7) )-_xlfn.ISOWEEKNUM(NOW())</f>
        <v>-32</v>
      </c>
      <c r="J201" s="345"/>
    </row>
    <row r="202" spans="1:10">
      <c r="A202" s="6" t="s">
        <v>4</v>
      </c>
      <c r="B202" s="6" t="str">
        <f>VLOOKUP(A202,Fleet[],2,FALSE)</f>
        <v>Intel</v>
      </c>
      <c r="C202" s="160">
        <v>45685</v>
      </c>
      <c r="D202" s="346">
        <f>YEAR(DATE(YEAR(Runhours_Table[[#This Row],[Date]]-WEEKDAY(Runhours_Table[[#This Row],[Date]]-1)+4),1,1)-MOD((DATE(YEAR(Runhours_Table[[#This Row],[Date]]-WEEKDAY(Runhours_Table[[#This Row],[Date]]-1)+4),1,1)-2),7)+(7*IF(MOD((DATE(YEAR(Runhours_Table[[#This Row],[Date]]-WEEKDAY(Runhours_Table[[#This Row],[Date]]-1)+4),1,1)-2),7)&gt;3,1,0))+7)</f>
        <v>2025</v>
      </c>
      <c r="E202" s="164">
        <f>_xlfn.ISOWEEKNUM(Runhours_Table[[#This Row],[Date]])</f>
        <v>5</v>
      </c>
      <c r="F202" s="160" t="str">
        <f>RIGHT(YEAR(Runhours_Table[[#This Row],[Date]]),2)&amp;TEXT(_xlfn.ISOWEEKNUM(Runhours_Table[[#This Row],[Date]]),"00")</f>
        <v>2505</v>
      </c>
      <c r="G202" s="38">
        <v>1.9563889999999999</v>
      </c>
      <c r="H202" s="38">
        <v>0</v>
      </c>
      <c r="I202" s="38">
        <f ca="1">_xlfn.ISOWEEKNUM(Runhours_Table[[#This Row],[Date]])+52*(Runhours_Table[[#This Row],[Year]]-YEAR(DATE(YEAR(TODAY()-WEEKDAY(TODAY()-1)+4),1,1)-MOD((DATE(YEAR(TODAY()-WEEKDAY(TODAY()-1)+4),1,1)-2),7)+(7*IF(MOD((DATE(YEAR(TODAY()-WEEKDAY(TODAY()-1)+4),1,1)-2),7)&gt;3,1,0))+7) )-_xlfn.ISOWEEKNUM(NOW())</f>
        <v>-32</v>
      </c>
      <c r="J202" s="345"/>
    </row>
    <row r="203" spans="1:10">
      <c r="A203" s="6" t="s">
        <v>7</v>
      </c>
      <c r="B203" s="6" t="str">
        <f>VLOOKUP(A203,Fleet[],2,FALSE)</f>
        <v>Intel</v>
      </c>
      <c r="C203" s="160">
        <v>45685</v>
      </c>
      <c r="D203" s="346">
        <f>YEAR(DATE(YEAR(Runhours_Table[[#This Row],[Date]]-WEEKDAY(Runhours_Table[[#This Row],[Date]]-1)+4),1,1)-MOD((DATE(YEAR(Runhours_Table[[#This Row],[Date]]-WEEKDAY(Runhours_Table[[#This Row],[Date]]-1)+4),1,1)-2),7)+(7*IF(MOD((DATE(YEAR(Runhours_Table[[#This Row],[Date]]-WEEKDAY(Runhours_Table[[#This Row],[Date]]-1)+4),1,1)-2),7)&gt;3,1,0))+7)</f>
        <v>2025</v>
      </c>
      <c r="E203" s="164">
        <f>_xlfn.ISOWEEKNUM(Runhours_Table[[#This Row],[Date]])</f>
        <v>5</v>
      </c>
      <c r="F203" s="160" t="str">
        <f>RIGHT(YEAR(Runhours_Table[[#This Row],[Date]]),2)&amp;TEXT(_xlfn.ISOWEEKNUM(Runhours_Table[[#This Row],[Date]]),"00")</f>
        <v>2505</v>
      </c>
      <c r="G203" s="38">
        <v>12.87</v>
      </c>
      <c r="H203" s="38">
        <v>18</v>
      </c>
      <c r="I203" s="38">
        <f ca="1">_xlfn.ISOWEEKNUM(Runhours_Table[[#This Row],[Date]])+52*(Runhours_Table[[#This Row],[Year]]-YEAR(DATE(YEAR(TODAY()-WEEKDAY(TODAY()-1)+4),1,1)-MOD((DATE(YEAR(TODAY()-WEEKDAY(TODAY()-1)+4),1,1)-2),7)+(7*IF(MOD((DATE(YEAR(TODAY()-WEEKDAY(TODAY()-1)+4),1,1)-2),7)&gt;3,1,0))+7) )-_xlfn.ISOWEEKNUM(NOW())</f>
        <v>-32</v>
      </c>
      <c r="J203" s="345"/>
    </row>
    <row r="204" spans="1:10">
      <c r="A204" s="6" t="s">
        <v>4</v>
      </c>
      <c r="B204" s="6" t="str">
        <f>VLOOKUP(A204,Fleet[],2,FALSE)</f>
        <v>Intel</v>
      </c>
      <c r="C204" s="160">
        <v>45686</v>
      </c>
      <c r="D204" s="346">
        <f>YEAR(DATE(YEAR(Runhours_Table[[#This Row],[Date]]-WEEKDAY(Runhours_Table[[#This Row],[Date]]-1)+4),1,1)-MOD((DATE(YEAR(Runhours_Table[[#This Row],[Date]]-WEEKDAY(Runhours_Table[[#This Row],[Date]]-1)+4),1,1)-2),7)+(7*IF(MOD((DATE(YEAR(Runhours_Table[[#This Row],[Date]]-WEEKDAY(Runhours_Table[[#This Row],[Date]]-1)+4),1,1)-2),7)&gt;3,1,0))+7)</f>
        <v>2025</v>
      </c>
      <c r="E204" s="164">
        <f>_xlfn.ISOWEEKNUM(Runhours_Table[[#This Row],[Date]])</f>
        <v>5</v>
      </c>
      <c r="F204" s="160" t="str">
        <f>RIGHT(YEAR(Runhours_Table[[#This Row],[Date]]),2)&amp;TEXT(_xlfn.ISOWEEKNUM(Runhours_Table[[#This Row],[Date]]),"00")</f>
        <v>2505</v>
      </c>
      <c r="G204" s="38">
        <v>2.3333330000000001</v>
      </c>
      <c r="H204" s="38">
        <v>0</v>
      </c>
      <c r="I204" s="38">
        <f ca="1">_xlfn.ISOWEEKNUM(Runhours_Table[[#This Row],[Date]])+52*(Runhours_Table[[#This Row],[Year]]-YEAR(DATE(YEAR(TODAY()-WEEKDAY(TODAY()-1)+4),1,1)-MOD((DATE(YEAR(TODAY()-WEEKDAY(TODAY()-1)+4),1,1)-2),7)+(7*IF(MOD((DATE(YEAR(TODAY()-WEEKDAY(TODAY()-1)+4),1,1)-2),7)&gt;3,1,0))+7) )-_xlfn.ISOWEEKNUM(NOW())</f>
        <v>-32</v>
      </c>
      <c r="J204" s="345"/>
    </row>
    <row r="205" spans="1:10">
      <c r="A205" s="6" t="s">
        <v>7</v>
      </c>
      <c r="B205" s="6" t="str">
        <f>VLOOKUP(A205,Fleet[],2,FALSE)</f>
        <v>Intel</v>
      </c>
      <c r="C205" s="160">
        <v>45686</v>
      </c>
      <c r="D205" s="346">
        <f>YEAR(DATE(YEAR(Runhours_Table[[#This Row],[Date]]-WEEKDAY(Runhours_Table[[#This Row],[Date]]-1)+4),1,1)-MOD((DATE(YEAR(Runhours_Table[[#This Row],[Date]]-WEEKDAY(Runhours_Table[[#This Row],[Date]]-1)+4),1,1)-2),7)+(7*IF(MOD((DATE(YEAR(Runhours_Table[[#This Row],[Date]]-WEEKDAY(Runhours_Table[[#This Row],[Date]]-1)+4),1,1)-2),7)&gt;3,1,0))+7)</f>
        <v>2025</v>
      </c>
      <c r="E205" s="164">
        <f>_xlfn.ISOWEEKNUM(Runhours_Table[[#This Row],[Date]])</f>
        <v>5</v>
      </c>
      <c r="F205" s="160" t="str">
        <f>RIGHT(YEAR(Runhours_Table[[#This Row],[Date]]),2)&amp;TEXT(_xlfn.ISOWEEKNUM(Runhours_Table[[#This Row],[Date]]),"00")</f>
        <v>2505</v>
      </c>
      <c r="G205" s="38">
        <v>14.761944</v>
      </c>
      <c r="H205" s="38">
        <v>0</v>
      </c>
      <c r="I205" s="38">
        <f ca="1">_xlfn.ISOWEEKNUM(Runhours_Table[[#This Row],[Date]])+52*(Runhours_Table[[#This Row],[Year]]-YEAR(DATE(YEAR(TODAY()-WEEKDAY(TODAY()-1)+4),1,1)-MOD((DATE(YEAR(TODAY()-WEEKDAY(TODAY()-1)+4),1,1)-2),7)+(7*IF(MOD((DATE(YEAR(TODAY()-WEEKDAY(TODAY()-1)+4),1,1)-2),7)&gt;3,1,0))+7) )-_xlfn.ISOWEEKNUM(NOW())</f>
        <v>-32</v>
      </c>
      <c r="J205" s="345"/>
    </row>
    <row r="206" spans="1:10">
      <c r="A206" s="6" t="s">
        <v>4</v>
      </c>
      <c r="B206" s="6" t="str">
        <f>VLOOKUP(A206,Fleet[],2,FALSE)</f>
        <v>Intel</v>
      </c>
      <c r="C206" s="160">
        <v>45687</v>
      </c>
      <c r="D206" s="346">
        <f>YEAR(DATE(YEAR(Runhours_Table[[#This Row],[Date]]-WEEKDAY(Runhours_Table[[#This Row],[Date]]-1)+4),1,1)-MOD((DATE(YEAR(Runhours_Table[[#This Row],[Date]]-WEEKDAY(Runhours_Table[[#This Row],[Date]]-1)+4),1,1)-2),7)+(7*IF(MOD((DATE(YEAR(Runhours_Table[[#This Row],[Date]]-WEEKDAY(Runhours_Table[[#This Row],[Date]]-1)+4),1,1)-2),7)&gt;3,1,0))+7)</f>
        <v>2025</v>
      </c>
      <c r="E206" s="164">
        <f>_xlfn.ISOWEEKNUM(Runhours_Table[[#This Row],[Date]])</f>
        <v>5</v>
      </c>
      <c r="F206" s="160" t="str">
        <f>RIGHT(YEAR(Runhours_Table[[#This Row],[Date]]),2)&amp;TEXT(_xlfn.ISOWEEKNUM(Runhours_Table[[#This Row],[Date]]),"00")</f>
        <v>2505</v>
      </c>
      <c r="G206" s="38">
        <v>0.46944399999999997</v>
      </c>
      <c r="H206" s="38">
        <v>3.8833330000000004</v>
      </c>
      <c r="I206" s="38">
        <f ca="1">_xlfn.ISOWEEKNUM(Runhours_Table[[#This Row],[Date]])+52*(Runhours_Table[[#This Row],[Year]]-YEAR(DATE(YEAR(TODAY()-WEEKDAY(TODAY()-1)+4),1,1)-MOD((DATE(YEAR(TODAY()-WEEKDAY(TODAY()-1)+4),1,1)-2),7)+(7*IF(MOD((DATE(YEAR(TODAY()-WEEKDAY(TODAY()-1)+4),1,1)-2),7)&gt;3,1,0))+7) )-_xlfn.ISOWEEKNUM(NOW())</f>
        <v>-32</v>
      </c>
      <c r="J206" s="345"/>
    </row>
    <row r="207" spans="1:10">
      <c r="A207" s="6" t="s">
        <v>7</v>
      </c>
      <c r="B207" s="6" t="str">
        <f>VLOOKUP(A207,Fleet[],2,FALSE)</f>
        <v>Intel</v>
      </c>
      <c r="C207" s="160">
        <v>45687</v>
      </c>
      <c r="D207" s="346">
        <f>YEAR(DATE(YEAR(Runhours_Table[[#This Row],[Date]]-WEEKDAY(Runhours_Table[[#This Row],[Date]]-1)+4),1,1)-MOD((DATE(YEAR(Runhours_Table[[#This Row],[Date]]-WEEKDAY(Runhours_Table[[#This Row],[Date]]-1)+4),1,1)-2),7)+(7*IF(MOD((DATE(YEAR(Runhours_Table[[#This Row],[Date]]-WEEKDAY(Runhours_Table[[#This Row],[Date]]-1)+4),1,1)-2),7)&gt;3,1,0))+7)</f>
        <v>2025</v>
      </c>
      <c r="E207" s="164">
        <f>_xlfn.ISOWEEKNUM(Runhours_Table[[#This Row],[Date]])</f>
        <v>5</v>
      </c>
      <c r="F207" s="160" t="str">
        <f>RIGHT(YEAR(Runhours_Table[[#This Row],[Date]]),2)&amp;TEXT(_xlfn.ISOWEEKNUM(Runhours_Table[[#This Row],[Date]]),"00")</f>
        <v>2505</v>
      </c>
      <c r="G207" s="38">
        <v>13.495556000000001</v>
      </c>
      <c r="H207" s="38">
        <v>18.433334000000002</v>
      </c>
      <c r="I207" s="38">
        <f ca="1">_xlfn.ISOWEEKNUM(Runhours_Table[[#This Row],[Date]])+52*(Runhours_Table[[#This Row],[Year]]-YEAR(DATE(YEAR(TODAY()-WEEKDAY(TODAY()-1)+4),1,1)-MOD((DATE(YEAR(TODAY()-WEEKDAY(TODAY()-1)+4),1,1)-2),7)+(7*IF(MOD((DATE(YEAR(TODAY()-WEEKDAY(TODAY()-1)+4),1,1)-2),7)&gt;3,1,0))+7) )-_xlfn.ISOWEEKNUM(NOW())</f>
        <v>-32</v>
      </c>
      <c r="J207" s="345"/>
    </row>
    <row r="208" spans="1:10">
      <c r="A208" s="6" t="s">
        <v>4</v>
      </c>
      <c r="B208" s="6" t="str">
        <f>VLOOKUP(A208,Fleet[],2,FALSE)</f>
        <v>Intel</v>
      </c>
      <c r="C208" s="160">
        <v>45688</v>
      </c>
      <c r="D208" s="346">
        <f>YEAR(DATE(YEAR(Runhours_Table[[#This Row],[Date]]-WEEKDAY(Runhours_Table[[#This Row],[Date]]-1)+4),1,1)-MOD((DATE(YEAR(Runhours_Table[[#This Row],[Date]]-WEEKDAY(Runhours_Table[[#This Row],[Date]]-1)+4),1,1)-2),7)+(7*IF(MOD((DATE(YEAR(Runhours_Table[[#This Row],[Date]]-WEEKDAY(Runhours_Table[[#This Row],[Date]]-1)+4),1,1)-2),7)&gt;3,1,0))+7)</f>
        <v>2025</v>
      </c>
      <c r="E208" s="164">
        <f>_xlfn.ISOWEEKNUM(Runhours_Table[[#This Row],[Date]])</f>
        <v>5</v>
      </c>
      <c r="F208" s="160" t="str">
        <f>RIGHT(YEAR(Runhours_Table[[#This Row],[Date]]),2)&amp;TEXT(_xlfn.ISOWEEKNUM(Runhours_Table[[#This Row],[Date]]),"00")</f>
        <v>2505</v>
      </c>
      <c r="G208" s="38">
        <v>8.8955559999999991</v>
      </c>
      <c r="H208" s="38">
        <v>17.433333999999999</v>
      </c>
      <c r="I208" s="38">
        <f ca="1">_xlfn.ISOWEEKNUM(Runhours_Table[[#This Row],[Date]])+52*(Runhours_Table[[#This Row],[Year]]-YEAR(DATE(YEAR(TODAY()-WEEKDAY(TODAY()-1)+4),1,1)-MOD((DATE(YEAR(TODAY()-WEEKDAY(TODAY()-1)+4),1,1)-2),7)+(7*IF(MOD((DATE(YEAR(TODAY()-WEEKDAY(TODAY()-1)+4),1,1)-2),7)&gt;3,1,0))+7) )-_xlfn.ISOWEEKNUM(NOW())</f>
        <v>-32</v>
      </c>
      <c r="J208" s="345"/>
    </row>
    <row r="209" spans="1:10">
      <c r="A209" s="6" t="s">
        <v>7</v>
      </c>
      <c r="B209" s="6" t="str">
        <f>VLOOKUP(A209,Fleet[],2,FALSE)</f>
        <v>Intel</v>
      </c>
      <c r="C209" s="160">
        <v>45688</v>
      </c>
      <c r="D209" s="346">
        <f>YEAR(DATE(YEAR(Runhours_Table[[#This Row],[Date]]-WEEKDAY(Runhours_Table[[#This Row],[Date]]-1)+4),1,1)-MOD((DATE(YEAR(Runhours_Table[[#This Row],[Date]]-WEEKDAY(Runhours_Table[[#This Row],[Date]]-1)+4),1,1)-2),7)+(7*IF(MOD((DATE(YEAR(Runhours_Table[[#This Row],[Date]]-WEEKDAY(Runhours_Table[[#This Row],[Date]]-1)+4),1,1)-2),7)&gt;3,1,0))+7)</f>
        <v>2025</v>
      </c>
      <c r="E209" s="164">
        <f>_xlfn.ISOWEEKNUM(Runhours_Table[[#This Row],[Date]])</f>
        <v>5</v>
      </c>
      <c r="F209" s="160" t="str">
        <f>RIGHT(YEAR(Runhours_Table[[#This Row],[Date]]),2)&amp;TEXT(_xlfn.ISOWEEKNUM(Runhours_Table[[#This Row],[Date]]),"00")</f>
        <v>2505</v>
      </c>
      <c r="G209" s="38">
        <v>6.398333</v>
      </c>
      <c r="H209" s="38">
        <v>19.733333000000002</v>
      </c>
      <c r="I209" s="38">
        <f ca="1">_xlfn.ISOWEEKNUM(Runhours_Table[[#This Row],[Date]])+52*(Runhours_Table[[#This Row],[Year]]-YEAR(DATE(YEAR(TODAY()-WEEKDAY(TODAY()-1)+4),1,1)-MOD((DATE(YEAR(TODAY()-WEEKDAY(TODAY()-1)+4),1,1)-2),7)+(7*IF(MOD((DATE(YEAR(TODAY()-WEEKDAY(TODAY()-1)+4),1,1)-2),7)&gt;3,1,0))+7) )-_xlfn.ISOWEEKNUM(NOW())</f>
        <v>-32</v>
      </c>
      <c r="J209" s="345"/>
    </row>
    <row r="210" spans="1:10">
      <c r="A210" s="6" t="s">
        <v>4</v>
      </c>
      <c r="B210" s="6" t="str">
        <f>VLOOKUP(A210,Fleet[],2,FALSE)</f>
        <v>Intel</v>
      </c>
      <c r="C210" s="160">
        <v>45689</v>
      </c>
      <c r="D210" s="346">
        <f>YEAR(DATE(YEAR(Runhours_Table[[#This Row],[Date]]-WEEKDAY(Runhours_Table[[#This Row],[Date]]-1)+4),1,1)-MOD((DATE(YEAR(Runhours_Table[[#This Row],[Date]]-WEEKDAY(Runhours_Table[[#This Row],[Date]]-1)+4),1,1)-2),7)+(7*IF(MOD((DATE(YEAR(Runhours_Table[[#This Row],[Date]]-WEEKDAY(Runhours_Table[[#This Row],[Date]]-1)+4),1,1)-2),7)&gt;3,1,0))+7)</f>
        <v>2025</v>
      </c>
      <c r="E210" s="164">
        <f>_xlfn.ISOWEEKNUM(Runhours_Table[[#This Row],[Date]])</f>
        <v>5</v>
      </c>
      <c r="F210" s="160" t="str">
        <f>RIGHT(YEAR(Runhours_Table[[#This Row],[Date]]),2)&amp;TEXT(_xlfn.ISOWEEKNUM(Runhours_Table[[#This Row],[Date]]),"00")</f>
        <v>2505</v>
      </c>
      <c r="G210" s="38">
        <v>14.7475</v>
      </c>
      <c r="H210" s="38">
        <v>21.4</v>
      </c>
      <c r="I210" s="38">
        <f ca="1">_xlfn.ISOWEEKNUM(Runhours_Table[[#This Row],[Date]])+52*(Runhours_Table[[#This Row],[Year]]-YEAR(DATE(YEAR(TODAY()-WEEKDAY(TODAY()-1)+4),1,1)-MOD((DATE(YEAR(TODAY()-WEEKDAY(TODAY()-1)+4),1,1)-2),7)+(7*IF(MOD((DATE(YEAR(TODAY()-WEEKDAY(TODAY()-1)+4),1,1)-2),7)&gt;3,1,0))+7) )-_xlfn.ISOWEEKNUM(NOW())</f>
        <v>-32</v>
      </c>
      <c r="J210" s="345"/>
    </row>
    <row r="211" spans="1:10">
      <c r="A211" s="6" t="s">
        <v>7</v>
      </c>
      <c r="B211" s="6" t="str">
        <f>VLOOKUP(A211,Fleet[],2,FALSE)</f>
        <v>Intel</v>
      </c>
      <c r="C211" s="160">
        <v>45689</v>
      </c>
      <c r="D211" s="346">
        <f>YEAR(DATE(YEAR(Runhours_Table[[#This Row],[Date]]-WEEKDAY(Runhours_Table[[#This Row],[Date]]-1)+4),1,1)-MOD((DATE(YEAR(Runhours_Table[[#This Row],[Date]]-WEEKDAY(Runhours_Table[[#This Row],[Date]]-1)+4),1,1)-2),7)+(7*IF(MOD((DATE(YEAR(Runhours_Table[[#This Row],[Date]]-WEEKDAY(Runhours_Table[[#This Row],[Date]]-1)+4),1,1)-2),7)&gt;3,1,0))+7)</f>
        <v>2025</v>
      </c>
      <c r="E211" s="164">
        <f>_xlfn.ISOWEEKNUM(Runhours_Table[[#This Row],[Date]])</f>
        <v>5</v>
      </c>
      <c r="F211" s="160" t="str">
        <f>RIGHT(YEAR(Runhours_Table[[#This Row],[Date]]),2)&amp;TEXT(_xlfn.ISOWEEKNUM(Runhours_Table[[#This Row],[Date]]),"00")</f>
        <v>2505</v>
      </c>
      <c r="G211" s="38">
        <v>8.2627780000000008</v>
      </c>
      <c r="H211" s="38">
        <v>10.966667000000001</v>
      </c>
      <c r="I211" s="38">
        <f ca="1">_xlfn.ISOWEEKNUM(Runhours_Table[[#This Row],[Date]])+52*(Runhours_Table[[#This Row],[Year]]-YEAR(DATE(YEAR(TODAY()-WEEKDAY(TODAY()-1)+4),1,1)-MOD((DATE(YEAR(TODAY()-WEEKDAY(TODAY()-1)+4),1,1)-2),7)+(7*IF(MOD((DATE(YEAR(TODAY()-WEEKDAY(TODAY()-1)+4),1,1)-2),7)&gt;3,1,0))+7) )-_xlfn.ISOWEEKNUM(NOW())</f>
        <v>-32</v>
      </c>
      <c r="J211" s="345"/>
    </row>
    <row r="212" spans="1:10">
      <c r="A212" s="6" t="s">
        <v>4</v>
      </c>
      <c r="B212" s="6" t="str">
        <f>VLOOKUP(A212,Fleet[],2,FALSE)</f>
        <v>Intel</v>
      </c>
      <c r="C212" s="160">
        <v>45690</v>
      </c>
      <c r="D212" s="346">
        <f>YEAR(DATE(YEAR(Runhours_Table[[#This Row],[Date]]-WEEKDAY(Runhours_Table[[#This Row],[Date]]-1)+4),1,1)-MOD((DATE(YEAR(Runhours_Table[[#This Row],[Date]]-WEEKDAY(Runhours_Table[[#This Row],[Date]]-1)+4),1,1)-2),7)+(7*IF(MOD((DATE(YEAR(Runhours_Table[[#This Row],[Date]]-WEEKDAY(Runhours_Table[[#This Row],[Date]]-1)+4),1,1)-2),7)&gt;3,1,0))+7)</f>
        <v>2025</v>
      </c>
      <c r="E212" s="164">
        <f>_xlfn.ISOWEEKNUM(Runhours_Table[[#This Row],[Date]])</f>
        <v>5</v>
      </c>
      <c r="F212" s="160" t="str">
        <f>RIGHT(YEAR(Runhours_Table[[#This Row],[Date]]),2)&amp;TEXT(_xlfn.ISOWEEKNUM(Runhours_Table[[#This Row],[Date]]),"00")</f>
        <v>2505</v>
      </c>
      <c r="G212" s="38">
        <v>8.2899999999999991</v>
      </c>
      <c r="H212" s="38">
        <v>16.2</v>
      </c>
      <c r="I212" s="38">
        <f ca="1">_xlfn.ISOWEEKNUM(Runhours_Table[[#This Row],[Date]])+52*(Runhours_Table[[#This Row],[Year]]-YEAR(DATE(YEAR(TODAY()-WEEKDAY(TODAY()-1)+4),1,1)-MOD((DATE(YEAR(TODAY()-WEEKDAY(TODAY()-1)+4),1,1)-2),7)+(7*IF(MOD((DATE(YEAR(TODAY()-WEEKDAY(TODAY()-1)+4),1,1)-2),7)&gt;3,1,0))+7) )-_xlfn.ISOWEEKNUM(NOW())</f>
        <v>-32</v>
      </c>
      <c r="J212" s="345"/>
    </row>
    <row r="213" spans="1:10">
      <c r="A213" s="6" t="s">
        <v>7</v>
      </c>
      <c r="B213" s="6" t="str">
        <f>VLOOKUP(A213,Fleet[],2,FALSE)</f>
        <v>Intel</v>
      </c>
      <c r="C213" s="160">
        <v>45690</v>
      </c>
      <c r="D213" s="346">
        <f>YEAR(DATE(YEAR(Runhours_Table[[#This Row],[Date]]-WEEKDAY(Runhours_Table[[#This Row],[Date]]-1)+4),1,1)-MOD((DATE(YEAR(Runhours_Table[[#This Row],[Date]]-WEEKDAY(Runhours_Table[[#This Row],[Date]]-1)+4),1,1)-2),7)+(7*IF(MOD((DATE(YEAR(Runhours_Table[[#This Row],[Date]]-WEEKDAY(Runhours_Table[[#This Row],[Date]]-1)+4),1,1)-2),7)&gt;3,1,0))+7)</f>
        <v>2025</v>
      </c>
      <c r="E213" s="164">
        <f>_xlfn.ISOWEEKNUM(Runhours_Table[[#This Row],[Date]])</f>
        <v>5</v>
      </c>
      <c r="F213" s="160" t="str">
        <f>RIGHT(YEAR(Runhours_Table[[#This Row],[Date]]),2)&amp;TEXT(_xlfn.ISOWEEKNUM(Runhours_Table[[#This Row],[Date]]),"00")</f>
        <v>2505</v>
      </c>
      <c r="G213" s="38">
        <v>4.0961109999999996</v>
      </c>
      <c r="H213" s="38">
        <v>8.6833329999999993</v>
      </c>
      <c r="I213" s="38">
        <f ca="1">_xlfn.ISOWEEKNUM(Runhours_Table[[#This Row],[Date]])+52*(Runhours_Table[[#This Row],[Year]]-YEAR(DATE(YEAR(TODAY()-WEEKDAY(TODAY()-1)+4),1,1)-MOD((DATE(YEAR(TODAY()-WEEKDAY(TODAY()-1)+4),1,1)-2),7)+(7*IF(MOD((DATE(YEAR(TODAY()-WEEKDAY(TODAY()-1)+4),1,1)-2),7)&gt;3,1,0))+7) )-_xlfn.ISOWEEKNUM(NOW())</f>
        <v>-32</v>
      </c>
      <c r="J213" s="345"/>
    </row>
    <row r="214" spans="1:10">
      <c r="A214" s="6" t="s">
        <v>4</v>
      </c>
      <c r="B214" s="6" t="str">
        <f>VLOOKUP(A214,Fleet[],2,FALSE)</f>
        <v>Intel</v>
      </c>
      <c r="C214" s="160">
        <v>45691</v>
      </c>
      <c r="D214" s="346">
        <f>YEAR(DATE(YEAR(Runhours_Table[[#This Row],[Date]]-WEEKDAY(Runhours_Table[[#This Row],[Date]]-1)+4),1,1)-MOD((DATE(YEAR(Runhours_Table[[#This Row],[Date]]-WEEKDAY(Runhours_Table[[#This Row],[Date]]-1)+4),1,1)-2),7)+(7*IF(MOD((DATE(YEAR(Runhours_Table[[#This Row],[Date]]-WEEKDAY(Runhours_Table[[#This Row],[Date]]-1)+4),1,1)-2),7)&gt;3,1,0))+7)</f>
        <v>2025</v>
      </c>
      <c r="E214" s="164">
        <f>_xlfn.ISOWEEKNUM(Runhours_Table[[#This Row],[Date]])</f>
        <v>6</v>
      </c>
      <c r="F214" s="160" t="str">
        <f>RIGHT(YEAR(Runhours_Table[[#This Row],[Date]]),2)&amp;TEXT(_xlfn.ISOWEEKNUM(Runhours_Table[[#This Row],[Date]]),"00")</f>
        <v>2506</v>
      </c>
      <c r="G214" s="38">
        <v>9.5094440000000002</v>
      </c>
      <c r="H214" s="38">
        <v>20.455277000000002</v>
      </c>
      <c r="I214" s="38">
        <f ca="1">_xlfn.ISOWEEKNUM(Runhours_Table[[#This Row],[Date]])+52*(Runhours_Table[[#This Row],[Year]]-YEAR(DATE(YEAR(TODAY()-WEEKDAY(TODAY()-1)+4),1,1)-MOD((DATE(YEAR(TODAY()-WEEKDAY(TODAY()-1)+4),1,1)-2),7)+(7*IF(MOD((DATE(YEAR(TODAY()-WEEKDAY(TODAY()-1)+4),1,1)-2),7)&gt;3,1,0))+7) )-_xlfn.ISOWEEKNUM(NOW())</f>
        <v>-31</v>
      </c>
      <c r="J214" s="345"/>
    </row>
    <row r="215" spans="1:10">
      <c r="A215" s="6" t="s">
        <v>7</v>
      </c>
      <c r="B215" s="6" t="str">
        <f>VLOOKUP(A215,Fleet[],2,FALSE)</f>
        <v>Intel</v>
      </c>
      <c r="C215" s="160">
        <v>45691</v>
      </c>
      <c r="D215" s="346">
        <f>YEAR(DATE(YEAR(Runhours_Table[[#This Row],[Date]]-WEEKDAY(Runhours_Table[[#This Row],[Date]]-1)+4),1,1)-MOD((DATE(YEAR(Runhours_Table[[#This Row],[Date]]-WEEKDAY(Runhours_Table[[#This Row],[Date]]-1)+4),1,1)-2),7)+(7*IF(MOD((DATE(YEAR(Runhours_Table[[#This Row],[Date]]-WEEKDAY(Runhours_Table[[#This Row],[Date]]-1)+4),1,1)-2),7)&gt;3,1,0))+7)</f>
        <v>2025</v>
      </c>
      <c r="E215" s="164">
        <f>_xlfn.ISOWEEKNUM(Runhours_Table[[#This Row],[Date]])</f>
        <v>6</v>
      </c>
      <c r="F215" s="160" t="str">
        <f>RIGHT(YEAR(Runhours_Table[[#This Row],[Date]]),2)&amp;TEXT(_xlfn.ISOWEEKNUM(Runhours_Table[[#This Row],[Date]]),"00")</f>
        <v>2506</v>
      </c>
      <c r="G215" s="38">
        <v>12.818056</v>
      </c>
      <c r="H215" s="38">
        <v>18.8325</v>
      </c>
      <c r="I215" s="38">
        <f ca="1">_xlfn.ISOWEEKNUM(Runhours_Table[[#This Row],[Date]])+52*(Runhours_Table[[#This Row],[Year]]-YEAR(DATE(YEAR(TODAY()-WEEKDAY(TODAY()-1)+4),1,1)-MOD((DATE(YEAR(TODAY()-WEEKDAY(TODAY()-1)+4),1,1)-2),7)+(7*IF(MOD((DATE(YEAR(TODAY()-WEEKDAY(TODAY()-1)+4),1,1)-2),7)&gt;3,1,0))+7) )-_xlfn.ISOWEEKNUM(NOW())</f>
        <v>-31</v>
      </c>
      <c r="J215" s="345"/>
    </row>
    <row r="216" spans="1:10">
      <c r="A216" s="6" t="s">
        <v>4</v>
      </c>
      <c r="B216" s="6" t="str">
        <f>VLOOKUP(A216,Fleet[],2,FALSE)</f>
        <v>Intel</v>
      </c>
      <c r="C216" s="160">
        <v>45692</v>
      </c>
      <c r="D216" s="346">
        <f>YEAR(DATE(YEAR(Runhours_Table[[#This Row],[Date]]-WEEKDAY(Runhours_Table[[#This Row],[Date]]-1)+4),1,1)-MOD((DATE(YEAR(Runhours_Table[[#This Row],[Date]]-WEEKDAY(Runhours_Table[[#This Row],[Date]]-1)+4),1,1)-2),7)+(7*IF(MOD((DATE(YEAR(Runhours_Table[[#This Row],[Date]]-WEEKDAY(Runhours_Table[[#This Row],[Date]]-1)+4),1,1)-2),7)&gt;3,1,0))+7)</f>
        <v>2025</v>
      </c>
      <c r="E216" s="164">
        <f>_xlfn.ISOWEEKNUM(Runhours_Table[[#This Row],[Date]])</f>
        <v>6</v>
      </c>
      <c r="F216" s="160" t="str">
        <f>RIGHT(YEAR(Runhours_Table[[#This Row],[Date]]),2)&amp;TEXT(_xlfn.ISOWEEKNUM(Runhours_Table[[#This Row],[Date]]),"00")</f>
        <v>2506</v>
      </c>
      <c r="G216" s="38">
        <v>4.2319440000000004</v>
      </c>
      <c r="H216" s="38">
        <v>22.560555000000001</v>
      </c>
      <c r="I216" s="38">
        <f ca="1">_xlfn.ISOWEEKNUM(Runhours_Table[[#This Row],[Date]])+52*(Runhours_Table[[#This Row],[Year]]-YEAR(DATE(YEAR(TODAY()-WEEKDAY(TODAY()-1)+4),1,1)-MOD((DATE(YEAR(TODAY()-WEEKDAY(TODAY()-1)+4),1,1)-2),7)+(7*IF(MOD((DATE(YEAR(TODAY()-WEEKDAY(TODAY()-1)+4),1,1)-2),7)&gt;3,1,0))+7) )-_xlfn.ISOWEEKNUM(NOW())</f>
        <v>-31</v>
      </c>
      <c r="J216" s="345"/>
    </row>
    <row r="217" spans="1:10">
      <c r="A217" s="6" t="s">
        <v>7</v>
      </c>
      <c r="B217" s="6" t="str">
        <f>VLOOKUP(A217,Fleet[],2,FALSE)</f>
        <v>Intel</v>
      </c>
      <c r="C217" s="160">
        <v>45692</v>
      </c>
      <c r="D217" s="346">
        <f>YEAR(DATE(YEAR(Runhours_Table[[#This Row],[Date]]-WEEKDAY(Runhours_Table[[#This Row],[Date]]-1)+4),1,1)-MOD((DATE(YEAR(Runhours_Table[[#This Row],[Date]]-WEEKDAY(Runhours_Table[[#This Row],[Date]]-1)+4),1,1)-2),7)+(7*IF(MOD((DATE(YEAR(Runhours_Table[[#This Row],[Date]]-WEEKDAY(Runhours_Table[[#This Row],[Date]]-1)+4),1,1)-2),7)&gt;3,1,0))+7)</f>
        <v>2025</v>
      </c>
      <c r="E217" s="164">
        <f>_xlfn.ISOWEEKNUM(Runhours_Table[[#This Row],[Date]])</f>
        <v>6</v>
      </c>
      <c r="F217" s="160" t="str">
        <f>RIGHT(YEAR(Runhours_Table[[#This Row],[Date]]),2)&amp;TEXT(_xlfn.ISOWEEKNUM(Runhours_Table[[#This Row],[Date]]),"00")</f>
        <v>2506</v>
      </c>
      <c r="G217" s="38">
        <v>11.105</v>
      </c>
      <c r="H217" s="38">
        <v>18.077500000000001</v>
      </c>
      <c r="I217" s="38">
        <f ca="1">_xlfn.ISOWEEKNUM(Runhours_Table[[#This Row],[Date]])+52*(Runhours_Table[[#This Row],[Year]]-YEAR(DATE(YEAR(TODAY()-WEEKDAY(TODAY()-1)+4),1,1)-MOD((DATE(YEAR(TODAY()-WEEKDAY(TODAY()-1)+4),1,1)-2),7)+(7*IF(MOD((DATE(YEAR(TODAY()-WEEKDAY(TODAY()-1)+4),1,1)-2),7)&gt;3,1,0))+7) )-_xlfn.ISOWEEKNUM(NOW())</f>
        <v>-31</v>
      </c>
      <c r="J217" s="345"/>
    </row>
    <row r="218" spans="1:10">
      <c r="A218" s="6" t="s">
        <v>4</v>
      </c>
      <c r="B218" s="6" t="str">
        <f>VLOOKUP(A218,Fleet[],2,FALSE)</f>
        <v>Intel</v>
      </c>
      <c r="C218" s="160">
        <v>45693</v>
      </c>
      <c r="D218" s="346">
        <f>YEAR(DATE(YEAR(Runhours_Table[[#This Row],[Date]]-WEEKDAY(Runhours_Table[[#This Row],[Date]]-1)+4),1,1)-MOD((DATE(YEAR(Runhours_Table[[#This Row],[Date]]-WEEKDAY(Runhours_Table[[#This Row],[Date]]-1)+4),1,1)-2),7)+(7*IF(MOD((DATE(YEAR(Runhours_Table[[#This Row],[Date]]-WEEKDAY(Runhours_Table[[#This Row],[Date]]-1)+4),1,1)-2),7)&gt;3,1,0))+7)</f>
        <v>2025</v>
      </c>
      <c r="E218" s="164">
        <f>_xlfn.ISOWEEKNUM(Runhours_Table[[#This Row],[Date]])</f>
        <v>6</v>
      </c>
      <c r="F218" s="160" t="str">
        <f>RIGHT(YEAR(Runhours_Table[[#This Row],[Date]]),2)&amp;TEXT(_xlfn.ISOWEEKNUM(Runhours_Table[[#This Row],[Date]]),"00")</f>
        <v>2506</v>
      </c>
      <c r="G218" s="38">
        <v>7.6355560000000002</v>
      </c>
      <c r="H218" s="38">
        <v>12.835278000000001</v>
      </c>
      <c r="I218" s="38">
        <f ca="1">_xlfn.ISOWEEKNUM(Runhours_Table[[#This Row],[Date]])+52*(Runhours_Table[[#This Row],[Year]]-YEAR(DATE(YEAR(TODAY()-WEEKDAY(TODAY()-1)+4),1,1)-MOD((DATE(YEAR(TODAY()-WEEKDAY(TODAY()-1)+4),1,1)-2),7)+(7*IF(MOD((DATE(YEAR(TODAY()-WEEKDAY(TODAY()-1)+4),1,1)-2),7)&gt;3,1,0))+7) )-_xlfn.ISOWEEKNUM(NOW())</f>
        <v>-31</v>
      </c>
      <c r="J218" s="345"/>
    </row>
    <row r="219" spans="1:10">
      <c r="A219" s="6" t="s">
        <v>7</v>
      </c>
      <c r="B219" s="6" t="str">
        <f>VLOOKUP(A219,Fleet[],2,FALSE)</f>
        <v>Intel</v>
      </c>
      <c r="C219" s="160">
        <v>45693</v>
      </c>
      <c r="D219" s="346">
        <f>YEAR(DATE(YEAR(Runhours_Table[[#This Row],[Date]]-WEEKDAY(Runhours_Table[[#This Row],[Date]]-1)+4),1,1)-MOD((DATE(YEAR(Runhours_Table[[#This Row],[Date]]-WEEKDAY(Runhours_Table[[#This Row],[Date]]-1)+4),1,1)-2),7)+(7*IF(MOD((DATE(YEAR(Runhours_Table[[#This Row],[Date]]-WEEKDAY(Runhours_Table[[#This Row],[Date]]-1)+4),1,1)-2),7)&gt;3,1,0))+7)</f>
        <v>2025</v>
      </c>
      <c r="E219" s="164">
        <f>_xlfn.ISOWEEKNUM(Runhours_Table[[#This Row],[Date]])</f>
        <v>6</v>
      </c>
      <c r="F219" s="160" t="str">
        <f>RIGHT(YEAR(Runhours_Table[[#This Row],[Date]]),2)&amp;TEXT(_xlfn.ISOWEEKNUM(Runhours_Table[[#This Row],[Date]]),"00")</f>
        <v>2506</v>
      </c>
      <c r="G219" s="38">
        <v>11.312222</v>
      </c>
      <c r="H219" s="38">
        <v>16.783332999999999</v>
      </c>
      <c r="I219" s="38">
        <f ca="1">_xlfn.ISOWEEKNUM(Runhours_Table[[#This Row],[Date]])+52*(Runhours_Table[[#This Row],[Year]]-YEAR(DATE(YEAR(TODAY()-WEEKDAY(TODAY()-1)+4),1,1)-MOD((DATE(YEAR(TODAY()-WEEKDAY(TODAY()-1)+4),1,1)-2),7)+(7*IF(MOD((DATE(YEAR(TODAY()-WEEKDAY(TODAY()-1)+4),1,1)-2),7)&gt;3,1,0))+7) )-_xlfn.ISOWEEKNUM(NOW())</f>
        <v>-31</v>
      </c>
      <c r="J219" s="345"/>
    </row>
    <row r="220" spans="1:10">
      <c r="A220" s="6" t="s">
        <v>4</v>
      </c>
      <c r="B220" s="6" t="str">
        <f>VLOOKUP(A220,Fleet[],2,FALSE)</f>
        <v>Intel</v>
      </c>
      <c r="C220" s="160">
        <v>45694</v>
      </c>
      <c r="D220" s="346">
        <f>YEAR(DATE(YEAR(Runhours_Table[[#This Row],[Date]]-WEEKDAY(Runhours_Table[[#This Row],[Date]]-1)+4),1,1)-MOD((DATE(YEAR(Runhours_Table[[#This Row],[Date]]-WEEKDAY(Runhours_Table[[#This Row],[Date]]-1)+4),1,1)-2),7)+(7*IF(MOD((DATE(YEAR(Runhours_Table[[#This Row],[Date]]-WEEKDAY(Runhours_Table[[#This Row],[Date]]-1)+4),1,1)-2),7)&gt;3,1,0))+7)</f>
        <v>2025</v>
      </c>
      <c r="E220" s="164">
        <f>_xlfn.ISOWEEKNUM(Runhours_Table[[#This Row],[Date]])</f>
        <v>6</v>
      </c>
      <c r="F220" s="160" t="str">
        <f>RIGHT(YEAR(Runhours_Table[[#This Row],[Date]]),2)&amp;TEXT(_xlfn.ISOWEEKNUM(Runhours_Table[[#This Row],[Date]]),"00")</f>
        <v>2506</v>
      </c>
      <c r="G220" s="38"/>
      <c r="H220" s="38"/>
      <c r="I220" s="38">
        <f ca="1">_xlfn.ISOWEEKNUM(Runhours_Table[[#This Row],[Date]])+52*(Runhours_Table[[#This Row],[Year]]-YEAR(DATE(YEAR(TODAY()-WEEKDAY(TODAY()-1)+4),1,1)-MOD((DATE(YEAR(TODAY()-WEEKDAY(TODAY()-1)+4),1,1)-2),7)+(7*IF(MOD((DATE(YEAR(TODAY()-WEEKDAY(TODAY()-1)+4),1,1)-2),7)&gt;3,1,0))+7) )-_xlfn.ISOWEEKNUM(NOW())</f>
        <v>-31</v>
      </c>
      <c r="J220" s="345"/>
    </row>
    <row r="221" spans="1:10">
      <c r="A221" s="6" t="s">
        <v>7</v>
      </c>
      <c r="B221" s="6" t="str">
        <f>VLOOKUP(A221,Fleet[],2,FALSE)</f>
        <v>Intel</v>
      </c>
      <c r="C221" s="160">
        <v>45694</v>
      </c>
      <c r="D221" s="346">
        <f>YEAR(DATE(YEAR(Runhours_Table[[#This Row],[Date]]-WEEKDAY(Runhours_Table[[#This Row],[Date]]-1)+4),1,1)-MOD((DATE(YEAR(Runhours_Table[[#This Row],[Date]]-WEEKDAY(Runhours_Table[[#This Row],[Date]]-1)+4),1,1)-2),7)+(7*IF(MOD((DATE(YEAR(Runhours_Table[[#This Row],[Date]]-WEEKDAY(Runhours_Table[[#This Row],[Date]]-1)+4),1,1)-2),7)&gt;3,1,0))+7)</f>
        <v>2025</v>
      </c>
      <c r="E221" s="164">
        <f>_xlfn.ISOWEEKNUM(Runhours_Table[[#This Row],[Date]])</f>
        <v>6</v>
      </c>
      <c r="F221" s="160" t="str">
        <f>RIGHT(YEAR(Runhours_Table[[#This Row],[Date]]),2)&amp;TEXT(_xlfn.ISOWEEKNUM(Runhours_Table[[#This Row],[Date]]),"00")</f>
        <v>2506</v>
      </c>
      <c r="G221" s="38">
        <v>16.038889000000001</v>
      </c>
      <c r="H221" s="38">
        <v>22.866667</v>
      </c>
      <c r="I221" s="38">
        <f ca="1">_xlfn.ISOWEEKNUM(Runhours_Table[[#This Row],[Date]])+52*(Runhours_Table[[#This Row],[Year]]-YEAR(DATE(YEAR(TODAY()-WEEKDAY(TODAY()-1)+4),1,1)-MOD((DATE(YEAR(TODAY()-WEEKDAY(TODAY()-1)+4),1,1)-2),7)+(7*IF(MOD((DATE(YEAR(TODAY()-WEEKDAY(TODAY()-1)+4),1,1)-2),7)&gt;3,1,0))+7) )-_xlfn.ISOWEEKNUM(NOW())</f>
        <v>-31</v>
      </c>
      <c r="J221" s="345"/>
    </row>
    <row r="222" spans="1:10">
      <c r="A222" s="6" t="s">
        <v>4</v>
      </c>
      <c r="B222" s="6" t="str">
        <f>VLOOKUP(A222,Fleet[],2,FALSE)</f>
        <v>Intel</v>
      </c>
      <c r="C222" s="160">
        <v>45695</v>
      </c>
      <c r="D222" s="346">
        <f>YEAR(DATE(YEAR(Runhours_Table[[#This Row],[Date]]-WEEKDAY(Runhours_Table[[#This Row],[Date]]-1)+4),1,1)-MOD((DATE(YEAR(Runhours_Table[[#This Row],[Date]]-WEEKDAY(Runhours_Table[[#This Row],[Date]]-1)+4),1,1)-2),7)+(7*IF(MOD((DATE(YEAR(Runhours_Table[[#This Row],[Date]]-WEEKDAY(Runhours_Table[[#This Row],[Date]]-1)+4),1,1)-2),7)&gt;3,1,0))+7)</f>
        <v>2025</v>
      </c>
      <c r="E222" s="164">
        <f>_xlfn.ISOWEEKNUM(Runhours_Table[[#This Row],[Date]])</f>
        <v>6</v>
      </c>
      <c r="F222" s="160" t="str">
        <f>RIGHT(YEAR(Runhours_Table[[#This Row],[Date]]),2)&amp;TEXT(_xlfn.ISOWEEKNUM(Runhours_Table[[#This Row],[Date]]),"00")</f>
        <v>2506</v>
      </c>
      <c r="G222" s="38"/>
      <c r="H222" s="38">
        <v>0</v>
      </c>
      <c r="I222" s="38">
        <f ca="1">_xlfn.ISOWEEKNUM(Runhours_Table[[#This Row],[Date]])+52*(Runhours_Table[[#This Row],[Year]]-YEAR(DATE(YEAR(TODAY()-WEEKDAY(TODAY()-1)+4),1,1)-MOD((DATE(YEAR(TODAY()-WEEKDAY(TODAY()-1)+4),1,1)-2),7)+(7*IF(MOD((DATE(YEAR(TODAY()-WEEKDAY(TODAY()-1)+4),1,1)-2),7)&gt;3,1,0))+7) )-_xlfn.ISOWEEKNUM(NOW())</f>
        <v>-31</v>
      </c>
      <c r="J222" s="345"/>
    </row>
    <row r="223" spans="1:10">
      <c r="A223" s="6" t="s">
        <v>7</v>
      </c>
      <c r="B223" s="6" t="str">
        <f>VLOOKUP(A223,Fleet[],2,FALSE)</f>
        <v>Intel</v>
      </c>
      <c r="C223" s="160">
        <v>45695</v>
      </c>
      <c r="D223" s="346">
        <f>YEAR(DATE(YEAR(Runhours_Table[[#This Row],[Date]]-WEEKDAY(Runhours_Table[[#This Row],[Date]]-1)+4),1,1)-MOD((DATE(YEAR(Runhours_Table[[#This Row],[Date]]-WEEKDAY(Runhours_Table[[#This Row],[Date]]-1)+4),1,1)-2),7)+(7*IF(MOD((DATE(YEAR(Runhours_Table[[#This Row],[Date]]-WEEKDAY(Runhours_Table[[#This Row],[Date]]-1)+4),1,1)-2),7)&gt;3,1,0))+7)</f>
        <v>2025</v>
      </c>
      <c r="E223" s="164">
        <f>_xlfn.ISOWEEKNUM(Runhours_Table[[#This Row],[Date]])</f>
        <v>6</v>
      </c>
      <c r="F223" s="160" t="str">
        <f>RIGHT(YEAR(Runhours_Table[[#This Row],[Date]]),2)&amp;TEXT(_xlfn.ISOWEEKNUM(Runhours_Table[[#This Row],[Date]]),"00")</f>
        <v>2506</v>
      </c>
      <c r="G223" s="38">
        <v>19.961110999999999</v>
      </c>
      <c r="H223" s="38">
        <v>22.833333</v>
      </c>
      <c r="I223" s="38">
        <f ca="1">_xlfn.ISOWEEKNUM(Runhours_Table[[#This Row],[Date]])+52*(Runhours_Table[[#This Row],[Year]]-YEAR(DATE(YEAR(TODAY()-WEEKDAY(TODAY()-1)+4),1,1)-MOD((DATE(YEAR(TODAY()-WEEKDAY(TODAY()-1)+4),1,1)-2),7)+(7*IF(MOD((DATE(YEAR(TODAY()-WEEKDAY(TODAY()-1)+4),1,1)-2),7)&gt;3,1,0))+7) )-_xlfn.ISOWEEKNUM(NOW())</f>
        <v>-31</v>
      </c>
      <c r="J223" s="345"/>
    </row>
    <row r="224" spans="1:10">
      <c r="A224" s="6" t="s">
        <v>4</v>
      </c>
      <c r="B224" s="6" t="str">
        <f>VLOOKUP(A224,Fleet[],2,FALSE)</f>
        <v>Intel</v>
      </c>
      <c r="C224" s="160">
        <v>45696</v>
      </c>
      <c r="D224" s="346">
        <f>YEAR(DATE(YEAR(Runhours_Table[[#This Row],[Date]]-WEEKDAY(Runhours_Table[[#This Row],[Date]]-1)+4),1,1)-MOD((DATE(YEAR(Runhours_Table[[#This Row],[Date]]-WEEKDAY(Runhours_Table[[#This Row],[Date]]-1)+4),1,1)-2),7)+(7*IF(MOD((DATE(YEAR(Runhours_Table[[#This Row],[Date]]-WEEKDAY(Runhours_Table[[#This Row],[Date]]-1)+4),1,1)-2),7)&gt;3,1,0))+7)</f>
        <v>2025</v>
      </c>
      <c r="E224" s="164">
        <f>_xlfn.ISOWEEKNUM(Runhours_Table[[#This Row],[Date]])</f>
        <v>6</v>
      </c>
      <c r="F224" s="160" t="str">
        <f>RIGHT(YEAR(Runhours_Table[[#This Row],[Date]]),2)&amp;TEXT(_xlfn.ISOWEEKNUM(Runhours_Table[[#This Row],[Date]]),"00")</f>
        <v>2506</v>
      </c>
      <c r="G224" s="38"/>
      <c r="H224" s="38">
        <v>0</v>
      </c>
      <c r="I224" s="38">
        <f ca="1">_xlfn.ISOWEEKNUM(Runhours_Table[[#This Row],[Date]])+52*(Runhours_Table[[#This Row],[Year]]-YEAR(DATE(YEAR(TODAY()-WEEKDAY(TODAY()-1)+4),1,1)-MOD((DATE(YEAR(TODAY()-WEEKDAY(TODAY()-1)+4),1,1)-2),7)+(7*IF(MOD((DATE(YEAR(TODAY()-WEEKDAY(TODAY()-1)+4),1,1)-2),7)&gt;3,1,0))+7) )-_xlfn.ISOWEEKNUM(NOW())</f>
        <v>-31</v>
      </c>
      <c r="J224" s="345"/>
    </row>
    <row r="225" spans="1:10">
      <c r="A225" s="6" t="s">
        <v>7</v>
      </c>
      <c r="B225" s="6" t="str">
        <f>VLOOKUP(A225,Fleet[],2,FALSE)</f>
        <v>Intel</v>
      </c>
      <c r="C225" s="160">
        <v>45696</v>
      </c>
      <c r="D225" s="346">
        <f>YEAR(DATE(YEAR(Runhours_Table[[#This Row],[Date]]-WEEKDAY(Runhours_Table[[#This Row],[Date]]-1)+4),1,1)-MOD((DATE(YEAR(Runhours_Table[[#This Row],[Date]]-WEEKDAY(Runhours_Table[[#This Row],[Date]]-1)+4),1,1)-2),7)+(7*IF(MOD((DATE(YEAR(Runhours_Table[[#This Row],[Date]]-WEEKDAY(Runhours_Table[[#This Row],[Date]]-1)+4),1,1)-2),7)&gt;3,1,0))+7)</f>
        <v>2025</v>
      </c>
      <c r="E225" s="164">
        <f>_xlfn.ISOWEEKNUM(Runhours_Table[[#This Row],[Date]])</f>
        <v>6</v>
      </c>
      <c r="F225" s="160" t="str">
        <f>RIGHT(YEAR(Runhours_Table[[#This Row],[Date]]),2)&amp;TEXT(_xlfn.ISOWEEKNUM(Runhours_Table[[#This Row],[Date]]),"00")</f>
        <v>2506</v>
      </c>
      <c r="G225" s="38">
        <v>11.675833000000001</v>
      </c>
      <c r="H225" s="38">
        <v>22.25</v>
      </c>
      <c r="I225" s="38">
        <f ca="1">_xlfn.ISOWEEKNUM(Runhours_Table[[#This Row],[Date]])+52*(Runhours_Table[[#This Row],[Year]]-YEAR(DATE(YEAR(TODAY()-WEEKDAY(TODAY()-1)+4),1,1)-MOD((DATE(YEAR(TODAY()-WEEKDAY(TODAY()-1)+4),1,1)-2),7)+(7*IF(MOD((DATE(YEAR(TODAY()-WEEKDAY(TODAY()-1)+4),1,1)-2),7)&gt;3,1,0))+7) )-_xlfn.ISOWEEKNUM(NOW())</f>
        <v>-31</v>
      </c>
      <c r="J225" s="345"/>
    </row>
    <row r="226" spans="1:10">
      <c r="A226" s="6" t="s">
        <v>4</v>
      </c>
      <c r="B226" s="6" t="str">
        <f>VLOOKUP(A226,Fleet[],2,FALSE)</f>
        <v>Intel</v>
      </c>
      <c r="C226" s="160">
        <v>45697</v>
      </c>
      <c r="D226" s="346">
        <f>YEAR(DATE(YEAR(Runhours_Table[[#This Row],[Date]]-WEEKDAY(Runhours_Table[[#This Row],[Date]]-1)+4),1,1)-MOD((DATE(YEAR(Runhours_Table[[#This Row],[Date]]-WEEKDAY(Runhours_Table[[#This Row],[Date]]-1)+4),1,1)-2),7)+(7*IF(MOD((DATE(YEAR(Runhours_Table[[#This Row],[Date]]-WEEKDAY(Runhours_Table[[#This Row],[Date]]-1)+4),1,1)-2),7)&gt;3,1,0))+7)</f>
        <v>2025</v>
      </c>
      <c r="E226" s="164">
        <f>_xlfn.ISOWEEKNUM(Runhours_Table[[#This Row],[Date]])</f>
        <v>6</v>
      </c>
      <c r="F226" s="160" t="str">
        <f>RIGHT(YEAR(Runhours_Table[[#This Row],[Date]]),2)&amp;TEXT(_xlfn.ISOWEEKNUM(Runhours_Table[[#This Row],[Date]]),"00")</f>
        <v>2506</v>
      </c>
      <c r="G226" s="38"/>
      <c r="H226" s="38">
        <v>0</v>
      </c>
      <c r="I226" s="38">
        <f ca="1">_xlfn.ISOWEEKNUM(Runhours_Table[[#This Row],[Date]])+52*(Runhours_Table[[#This Row],[Year]]-YEAR(DATE(YEAR(TODAY()-WEEKDAY(TODAY()-1)+4),1,1)-MOD((DATE(YEAR(TODAY()-WEEKDAY(TODAY()-1)+4),1,1)-2),7)+(7*IF(MOD((DATE(YEAR(TODAY()-WEEKDAY(TODAY()-1)+4),1,1)-2),7)&gt;3,1,0))+7) )-_xlfn.ISOWEEKNUM(NOW())</f>
        <v>-31</v>
      </c>
      <c r="J226" s="345"/>
    </row>
    <row r="227" spans="1:10">
      <c r="A227" s="6" t="s">
        <v>7</v>
      </c>
      <c r="B227" s="6" t="str">
        <f>VLOOKUP(A227,Fleet[],2,FALSE)</f>
        <v>Intel</v>
      </c>
      <c r="C227" s="160">
        <v>45697</v>
      </c>
      <c r="D227" s="346">
        <f>YEAR(DATE(YEAR(Runhours_Table[[#This Row],[Date]]-WEEKDAY(Runhours_Table[[#This Row],[Date]]-1)+4),1,1)-MOD((DATE(YEAR(Runhours_Table[[#This Row],[Date]]-WEEKDAY(Runhours_Table[[#This Row],[Date]]-1)+4),1,1)-2),7)+(7*IF(MOD((DATE(YEAR(Runhours_Table[[#This Row],[Date]]-WEEKDAY(Runhours_Table[[#This Row],[Date]]-1)+4),1,1)-2),7)&gt;3,1,0))+7)</f>
        <v>2025</v>
      </c>
      <c r="E227" s="164">
        <f>_xlfn.ISOWEEKNUM(Runhours_Table[[#This Row],[Date]])</f>
        <v>6</v>
      </c>
      <c r="F227" s="160" t="str">
        <f>RIGHT(YEAR(Runhours_Table[[#This Row],[Date]]),2)&amp;TEXT(_xlfn.ISOWEEKNUM(Runhours_Table[[#This Row],[Date]]),"00")</f>
        <v>2506</v>
      </c>
      <c r="G227" s="38">
        <v>18.633333</v>
      </c>
      <c r="H227" s="38">
        <v>23</v>
      </c>
      <c r="I227" s="38">
        <f ca="1">_xlfn.ISOWEEKNUM(Runhours_Table[[#This Row],[Date]])+52*(Runhours_Table[[#This Row],[Year]]-YEAR(DATE(YEAR(TODAY()-WEEKDAY(TODAY()-1)+4),1,1)-MOD((DATE(YEAR(TODAY()-WEEKDAY(TODAY()-1)+4),1,1)-2),7)+(7*IF(MOD((DATE(YEAR(TODAY()-WEEKDAY(TODAY()-1)+4),1,1)-2),7)&gt;3,1,0))+7) )-_xlfn.ISOWEEKNUM(NOW())</f>
        <v>-31</v>
      </c>
      <c r="J227" s="345"/>
    </row>
    <row r="228" spans="1:10">
      <c r="A228" s="6" t="s">
        <v>4</v>
      </c>
      <c r="B228" s="6" t="str">
        <f>VLOOKUP(A228,Fleet[],2,FALSE)</f>
        <v>Intel</v>
      </c>
      <c r="C228" s="160">
        <v>45698</v>
      </c>
      <c r="D228" s="346">
        <f>YEAR(DATE(YEAR(Runhours_Table[[#This Row],[Date]]-WEEKDAY(Runhours_Table[[#This Row],[Date]]-1)+4),1,1)-MOD((DATE(YEAR(Runhours_Table[[#This Row],[Date]]-WEEKDAY(Runhours_Table[[#This Row],[Date]]-1)+4),1,1)-2),7)+(7*IF(MOD((DATE(YEAR(Runhours_Table[[#This Row],[Date]]-WEEKDAY(Runhours_Table[[#This Row],[Date]]-1)+4),1,1)-2),7)&gt;3,1,0))+7)</f>
        <v>2025</v>
      </c>
      <c r="E228" s="164">
        <f>_xlfn.ISOWEEKNUM(Runhours_Table[[#This Row],[Date]])</f>
        <v>7</v>
      </c>
      <c r="F228" s="160" t="str">
        <f>RIGHT(YEAR(Runhours_Table[[#This Row],[Date]]),2)&amp;TEXT(_xlfn.ISOWEEKNUM(Runhours_Table[[#This Row],[Date]]),"00")</f>
        <v>2507</v>
      </c>
      <c r="G228" s="38">
        <v>2.89</v>
      </c>
      <c r="H228" s="38">
        <v>12.166667</v>
      </c>
      <c r="I228" s="38">
        <f ca="1">_xlfn.ISOWEEKNUM(Runhours_Table[[#This Row],[Date]])+52*(Runhours_Table[[#This Row],[Year]]-YEAR(DATE(YEAR(TODAY()-WEEKDAY(TODAY()-1)+4),1,1)-MOD((DATE(YEAR(TODAY()-WEEKDAY(TODAY()-1)+4),1,1)-2),7)+(7*IF(MOD((DATE(YEAR(TODAY()-WEEKDAY(TODAY()-1)+4),1,1)-2),7)&gt;3,1,0))+7) )-_xlfn.ISOWEEKNUM(NOW())</f>
        <v>-30</v>
      </c>
      <c r="J228" s="345"/>
    </row>
    <row r="229" spans="1:10">
      <c r="A229" s="6" t="s">
        <v>7</v>
      </c>
      <c r="B229" s="6" t="str">
        <f>VLOOKUP(A229,Fleet[],2,FALSE)</f>
        <v>Intel</v>
      </c>
      <c r="C229" s="160">
        <v>45698</v>
      </c>
      <c r="D229" s="346">
        <f>YEAR(DATE(YEAR(Runhours_Table[[#This Row],[Date]]-WEEKDAY(Runhours_Table[[#This Row],[Date]]-1)+4),1,1)-MOD((DATE(YEAR(Runhours_Table[[#This Row],[Date]]-WEEKDAY(Runhours_Table[[#This Row],[Date]]-1)+4),1,1)-2),7)+(7*IF(MOD((DATE(YEAR(Runhours_Table[[#This Row],[Date]]-WEEKDAY(Runhours_Table[[#This Row],[Date]]-1)+4),1,1)-2),7)&gt;3,1,0))+7)</f>
        <v>2025</v>
      </c>
      <c r="E229" s="164">
        <f>_xlfn.ISOWEEKNUM(Runhours_Table[[#This Row],[Date]])</f>
        <v>7</v>
      </c>
      <c r="F229" s="160" t="str">
        <f>RIGHT(YEAR(Runhours_Table[[#This Row],[Date]]),2)&amp;TEXT(_xlfn.ISOWEEKNUM(Runhours_Table[[#This Row],[Date]]),"00")</f>
        <v>2507</v>
      </c>
      <c r="G229" s="38">
        <v>11.407778</v>
      </c>
      <c r="H229" s="38">
        <v>15</v>
      </c>
      <c r="I229" s="38">
        <f ca="1">_xlfn.ISOWEEKNUM(Runhours_Table[[#This Row],[Date]])+52*(Runhours_Table[[#This Row],[Year]]-YEAR(DATE(YEAR(TODAY()-WEEKDAY(TODAY()-1)+4),1,1)-MOD((DATE(YEAR(TODAY()-WEEKDAY(TODAY()-1)+4),1,1)-2),7)+(7*IF(MOD((DATE(YEAR(TODAY()-WEEKDAY(TODAY()-1)+4),1,1)-2),7)&gt;3,1,0))+7) )-_xlfn.ISOWEEKNUM(NOW())</f>
        <v>-30</v>
      </c>
      <c r="J229" s="345"/>
    </row>
    <row r="230" spans="1:10">
      <c r="A230" s="6" t="s">
        <v>4</v>
      </c>
      <c r="B230" s="6" t="str">
        <f>VLOOKUP(A230,Fleet[],2,FALSE)</f>
        <v>Intel</v>
      </c>
      <c r="C230" s="160">
        <v>45699</v>
      </c>
      <c r="D230" s="346">
        <f>YEAR(DATE(YEAR(Runhours_Table[[#This Row],[Date]]-WEEKDAY(Runhours_Table[[#This Row],[Date]]-1)+4),1,1)-MOD((DATE(YEAR(Runhours_Table[[#This Row],[Date]]-WEEKDAY(Runhours_Table[[#This Row],[Date]]-1)+4),1,1)-2),7)+(7*IF(MOD((DATE(YEAR(Runhours_Table[[#This Row],[Date]]-WEEKDAY(Runhours_Table[[#This Row],[Date]]-1)+4),1,1)-2),7)&gt;3,1,0))+7)</f>
        <v>2025</v>
      </c>
      <c r="E230" s="164">
        <f>_xlfn.ISOWEEKNUM(Runhours_Table[[#This Row],[Date]])</f>
        <v>7</v>
      </c>
      <c r="F230" s="160" t="str">
        <f>RIGHT(YEAR(Runhours_Table[[#This Row],[Date]]),2)&amp;TEXT(_xlfn.ISOWEEKNUM(Runhours_Table[[#This Row],[Date]]),"00")</f>
        <v>2507</v>
      </c>
      <c r="G230" s="38">
        <v>7.5119439999999997</v>
      </c>
      <c r="H230" s="38">
        <v>14.616665999999999</v>
      </c>
      <c r="I230" s="38">
        <f ca="1">_xlfn.ISOWEEKNUM(Runhours_Table[[#This Row],[Date]])+52*(Runhours_Table[[#This Row],[Year]]-YEAR(DATE(YEAR(TODAY()-WEEKDAY(TODAY()-1)+4),1,1)-MOD((DATE(YEAR(TODAY()-WEEKDAY(TODAY()-1)+4),1,1)-2),7)+(7*IF(MOD((DATE(YEAR(TODAY()-WEEKDAY(TODAY()-1)+4),1,1)-2),7)&gt;3,1,0))+7) )-_xlfn.ISOWEEKNUM(NOW())</f>
        <v>-30</v>
      </c>
      <c r="J230" s="345"/>
    </row>
    <row r="231" spans="1:10">
      <c r="A231" s="6" t="s">
        <v>7</v>
      </c>
      <c r="B231" s="6" t="str">
        <f>VLOOKUP(A231,Fleet[],2,FALSE)</f>
        <v>Intel</v>
      </c>
      <c r="C231" s="160">
        <v>45699</v>
      </c>
      <c r="D231" s="346">
        <f>YEAR(DATE(YEAR(Runhours_Table[[#This Row],[Date]]-WEEKDAY(Runhours_Table[[#This Row],[Date]]-1)+4),1,1)-MOD((DATE(YEAR(Runhours_Table[[#This Row],[Date]]-WEEKDAY(Runhours_Table[[#This Row],[Date]]-1)+4),1,1)-2),7)+(7*IF(MOD((DATE(YEAR(Runhours_Table[[#This Row],[Date]]-WEEKDAY(Runhours_Table[[#This Row],[Date]]-1)+4),1,1)-2),7)&gt;3,1,0))+7)</f>
        <v>2025</v>
      </c>
      <c r="E231" s="164">
        <f>_xlfn.ISOWEEKNUM(Runhours_Table[[#This Row],[Date]])</f>
        <v>7</v>
      </c>
      <c r="F231" s="160" t="str">
        <f>RIGHT(YEAR(Runhours_Table[[#This Row],[Date]]),2)&amp;TEXT(_xlfn.ISOWEEKNUM(Runhours_Table[[#This Row],[Date]]),"00")</f>
        <v>2507</v>
      </c>
      <c r="G231" s="38">
        <v>5.5052779999999997</v>
      </c>
      <c r="H231" s="38">
        <v>7.3</v>
      </c>
      <c r="I231" s="38">
        <f ca="1">_xlfn.ISOWEEKNUM(Runhours_Table[[#This Row],[Date]])+52*(Runhours_Table[[#This Row],[Year]]-YEAR(DATE(YEAR(TODAY()-WEEKDAY(TODAY()-1)+4),1,1)-MOD((DATE(YEAR(TODAY()-WEEKDAY(TODAY()-1)+4),1,1)-2),7)+(7*IF(MOD((DATE(YEAR(TODAY()-WEEKDAY(TODAY()-1)+4),1,1)-2),7)&gt;3,1,0))+7) )-_xlfn.ISOWEEKNUM(NOW())</f>
        <v>-30</v>
      </c>
      <c r="J231" s="345"/>
    </row>
    <row r="232" spans="1:10">
      <c r="A232" s="6" t="s">
        <v>4</v>
      </c>
      <c r="B232" s="6" t="str">
        <f>VLOOKUP(A232,Fleet[],2,FALSE)</f>
        <v>Intel</v>
      </c>
      <c r="C232" s="160">
        <v>45700</v>
      </c>
      <c r="D232" s="346">
        <f>YEAR(DATE(YEAR(Runhours_Table[[#This Row],[Date]]-WEEKDAY(Runhours_Table[[#This Row],[Date]]-1)+4),1,1)-MOD((DATE(YEAR(Runhours_Table[[#This Row],[Date]]-WEEKDAY(Runhours_Table[[#This Row],[Date]]-1)+4),1,1)-2),7)+(7*IF(MOD((DATE(YEAR(Runhours_Table[[#This Row],[Date]]-WEEKDAY(Runhours_Table[[#This Row],[Date]]-1)+4),1,1)-2),7)&gt;3,1,0))+7)</f>
        <v>2025</v>
      </c>
      <c r="E232" s="164">
        <f>_xlfn.ISOWEEKNUM(Runhours_Table[[#This Row],[Date]])</f>
        <v>7</v>
      </c>
      <c r="F232" s="160" t="str">
        <f>RIGHT(YEAR(Runhours_Table[[#This Row],[Date]]),2)&amp;TEXT(_xlfn.ISOWEEKNUM(Runhours_Table[[#This Row],[Date]]),"00")</f>
        <v>2507</v>
      </c>
      <c r="G232" s="38">
        <v>13.73</v>
      </c>
      <c r="H232" s="38">
        <v>22.183333000000001</v>
      </c>
      <c r="I232" s="38">
        <f ca="1">_xlfn.ISOWEEKNUM(Runhours_Table[[#This Row],[Date]])+52*(Runhours_Table[[#This Row],[Year]]-YEAR(DATE(YEAR(TODAY()-WEEKDAY(TODAY()-1)+4),1,1)-MOD((DATE(YEAR(TODAY()-WEEKDAY(TODAY()-1)+4),1,1)-2),7)+(7*IF(MOD((DATE(YEAR(TODAY()-WEEKDAY(TODAY()-1)+4),1,1)-2),7)&gt;3,1,0))+7) )-_xlfn.ISOWEEKNUM(NOW())</f>
        <v>-30</v>
      </c>
      <c r="J232" s="345"/>
    </row>
    <row r="233" spans="1:10">
      <c r="A233" s="6" t="s">
        <v>7</v>
      </c>
      <c r="B233" s="6" t="str">
        <f>VLOOKUP(A233,Fleet[],2,FALSE)</f>
        <v>Intel</v>
      </c>
      <c r="C233" s="160">
        <v>45700</v>
      </c>
      <c r="D233" s="346">
        <f>YEAR(DATE(YEAR(Runhours_Table[[#This Row],[Date]]-WEEKDAY(Runhours_Table[[#This Row],[Date]]-1)+4),1,1)-MOD((DATE(YEAR(Runhours_Table[[#This Row],[Date]]-WEEKDAY(Runhours_Table[[#This Row],[Date]]-1)+4),1,1)-2),7)+(7*IF(MOD((DATE(YEAR(Runhours_Table[[#This Row],[Date]]-WEEKDAY(Runhours_Table[[#This Row],[Date]]-1)+4),1,1)-2),7)&gt;3,1,0))+7)</f>
        <v>2025</v>
      </c>
      <c r="E233" s="164">
        <f>_xlfn.ISOWEEKNUM(Runhours_Table[[#This Row],[Date]])</f>
        <v>7</v>
      </c>
      <c r="F233" s="160" t="str">
        <f>RIGHT(YEAR(Runhours_Table[[#This Row],[Date]]),2)&amp;TEXT(_xlfn.ISOWEEKNUM(Runhours_Table[[#This Row],[Date]]),"00")</f>
        <v>2507</v>
      </c>
      <c r="G233" s="38">
        <v>17.838889000000002</v>
      </c>
      <c r="H233" s="38">
        <v>22.383333</v>
      </c>
      <c r="I233" s="38">
        <f ca="1">_xlfn.ISOWEEKNUM(Runhours_Table[[#This Row],[Date]])+52*(Runhours_Table[[#This Row],[Year]]-YEAR(DATE(YEAR(TODAY()-WEEKDAY(TODAY()-1)+4),1,1)-MOD((DATE(YEAR(TODAY()-WEEKDAY(TODAY()-1)+4),1,1)-2),7)+(7*IF(MOD((DATE(YEAR(TODAY()-WEEKDAY(TODAY()-1)+4),1,1)-2),7)&gt;3,1,0))+7) )-_xlfn.ISOWEEKNUM(NOW())</f>
        <v>-30</v>
      </c>
      <c r="J233" s="345"/>
    </row>
    <row r="234" spans="1:10">
      <c r="A234" s="6" t="s">
        <v>4</v>
      </c>
      <c r="B234" s="6" t="str">
        <f>VLOOKUP(A234,Fleet[],2,FALSE)</f>
        <v>Intel</v>
      </c>
      <c r="C234" s="160">
        <v>45701</v>
      </c>
      <c r="D234" s="346">
        <f>YEAR(DATE(YEAR(Runhours_Table[[#This Row],[Date]]-WEEKDAY(Runhours_Table[[#This Row],[Date]]-1)+4),1,1)-MOD((DATE(YEAR(Runhours_Table[[#This Row],[Date]]-WEEKDAY(Runhours_Table[[#This Row],[Date]]-1)+4),1,1)-2),7)+(7*IF(MOD((DATE(YEAR(Runhours_Table[[#This Row],[Date]]-WEEKDAY(Runhours_Table[[#This Row],[Date]]-1)+4),1,1)-2),7)&gt;3,1,0))+7)</f>
        <v>2025</v>
      </c>
      <c r="E234" s="164">
        <f>_xlfn.ISOWEEKNUM(Runhours_Table[[#This Row],[Date]])</f>
        <v>7</v>
      </c>
      <c r="F234" s="160" t="str">
        <f>RIGHT(YEAR(Runhours_Table[[#This Row],[Date]]),2)&amp;TEXT(_xlfn.ISOWEEKNUM(Runhours_Table[[#This Row],[Date]]),"00")</f>
        <v>2507</v>
      </c>
      <c r="G234" s="38">
        <v>4.5702780000000001</v>
      </c>
      <c r="H234" s="38">
        <v>21.450000000000003</v>
      </c>
      <c r="I234" s="38">
        <f ca="1">_xlfn.ISOWEEKNUM(Runhours_Table[[#This Row],[Date]])+52*(Runhours_Table[[#This Row],[Year]]-YEAR(DATE(YEAR(TODAY()-WEEKDAY(TODAY()-1)+4),1,1)-MOD((DATE(YEAR(TODAY()-WEEKDAY(TODAY()-1)+4),1,1)-2),7)+(7*IF(MOD((DATE(YEAR(TODAY()-WEEKDAY(TODAY()-1)+4),1,1)-2),7)&gt;3,1,0))+7) )-_xlfn.ISOWEEKNUM(NOW())</f>
        <v>-30</v>
      </c>
      <c r="J234" s="345"/>
    </row>
    <row r="235" spans="1:10">
      <c r="A235" s="6" t="s">
        <v>7</v>
      </c>
      <c r="B235" s="6" t="str">
        <f>VLOOKUP(A235,Fleet[],2,FALSE)</f>
        <v>Intel</v>
      </c>
      <c r="C235" s="160">
        <v>45701</v>
      </c>
      <c r="D235" s="346">
        <f>YEAR(DATE(YEAR(Runhours_Table[[#This Row],[Date]]-WEEKDAY(Runhours_Table[[#This Row],[Date]]-1)+4),1,1)-MOD((DATE(YEAR(Runhours_Table[[#This Row],[Date]]-WEEKDAY(Runhours_Table[[#This Row],[Date]]-1)+4),1,1)-2),7)+(7*IF(MOD((DATE(YEAR(Runhours_Table[[#This Row],[Date]]-WEEKDAY(Runhours_Table[[#This Row],[Date]]-1)+4),1,1)-2),7)&gt;3,1,0))+7)</f>
        <v>2025</v>
      </c>
      <c r="E235" s="164">
        <f>_xlfn.ISOWEEKNUM(Runhours_Table[[#This Row],[Date]])</f>
        <v>7</v>
      </c>
      <c r="F235" s="160" t="str">
        <f>RIGHT(YEAR(Runhours_Table[[#This Row],[Date]]),2)&amp;TEXT(_xlfn.ISOWEEKNUM(Runhours_Table[[#This Row],[Date]]),"00")</f>
        <v>2507</v>
      </c>
      <c r="G235" s="38">
        <v>9.06</v>
      </c>
      <c r="H235" s="38">
        <v>20.316667000000002</v>
      </c>
      <c r="I235" s="38">
        <f ca="1">_xlfn.ISOWEEKNUM(Runhours_Table[[#This Row],[Date]])+52*(Runhours_Table[[#This Row],[Year]]-YEAR(DATE(YEAR(TODAY()-WEEKDAY(TODAY()-1)+4),1,1)-MOD((DATE(YEAR(TODAY()-WEEKDAY(TODAY()-1)+4),1,1)-2),7)+(7*IF(MOD((DATE(YEAR(TODAY()-WEEKDAY(TODAY()-1)+4),1,1)-2),7)&gt;3,1,0))+7) )-_xlfn.ISOWEEKNUM(NOW())</f>
        <v>-30</v>
      </c>
      <c r="J235" s="345"/>
    </row>
    <row r="236" spans="1:10">
      <c r="A236" s="6" t="s">
        <v>4</v>
      </c>
      <c r="B236" s="6" t="str">
        <f>VLOOKUP(A236,Fleet[],2,FALSE)</f>
        <v>Intel</v>
      </c>
      <c r="C236" s="160">
        <v>45702</v>
      </c>
      <c r="D236" s="346">
        <f>YEAR(DATE(YEAR(Runhours_Table[[#This Row],[Date]]-WEEKDAY(Runhours_Table[[#This Row],[Date]]-1)+4),1,1)-MOD((DATE(YEAR(Runhours_Table[[#This Row],[Date]]-WEEKDAY(Runhours_Table[[#This Row],[Date]]-1)+4),1,1)-2),7)+(7*IF(MOD((DATE(YEAR(Runhours_Table[[#This Row],[Date]]-WEEKDAY(Runhours_Table[[#This Row],[Date]]-1)+4),1,1)-2),7)&gt;3,1,0))+7)</f>
        <v>2025</v>
      </c>
      <c r="E236" s="164">
        <f>_xlfn.ISOWEEKNUM(Runhours_Table[[#This Row],[Date]])</f>
        <v>7</v>
      </c>
      <c r="F236" s="160" t="str">
        <f>RIGHT(YEAR(Runhours_Table[[#This Row],[Date]]),2)&amp;TEXT(_xlfn.ISOWEEKNUM(Runhours_Table[[#This Row],[Date]]),"00")</f>
        <v>2507</v>
      </c>
      <c r="G236" s="38">
        <v>7.9211109999999998</v>
      </c>
      <c r="H236" s="38">
        <v>19.833333</v>
      </c>
      <c r="I236" s="38">
        <f ca="1">_xlfn.ISOWEEKNUM(Runhours_Table[[#This Row],[Date]])+52*(Runhours_Table[[#This Row],[Year]]-YEAR(DATE(YEAR(TODAY()-WEEKDAY(TODAY()-1)+4),1,1)-MOD((DATE(YEAR(TODAY()-WEEKDAY(TODAY()-1)+4),1,1)-2),7)+(7*IF(MOD((DATE(YEAR(TODAY()-WEEKDAY(TODAY()-1)+4),1,1)-2),7)&gt;3,1,0))+7) )-_xlfn.ISOWEEKNUM(NOW())</f>
        <v>-30</v>
      </c>
      <c r="J236" s="345"/>
    </row>
    <row r="237" spans="1:10">
      <c r="A237" s="6" t="s">
        <v>7</v>
      </c>
      <c r="B237" s="6" t="str">
        <f>VLOOKUP(A237,Fleet[],2,FALSE)</f>
        <v>Intel</v>
      </c>
      <c r="C237" s="160">
        <v>45702</v>
      </c>
      <c r="D237" s="346">
        <f>YEAR(DATE(YEAR(Runhours_Table[[#This Row],[Date]]-WEEKDAY(Runhours_Table[[#This Row],[Date]]-1)+4),1,1)-MOD((DATE(YEAR(Runhours_Table[[#This Row],[Date]]-WEEKDAY(Runhours_Table[[#This Row],[Date]]-1)+4),1,1)-2),7)+(7*IF(MOD((DATE(YEAR(Runhours_Table[[#This Row],[Date]]-WEEKDAY(Runhours_Table[[#This Row],[Date]]-1)+4),1,1)-2),7)&gt;3,1,0))+7)</f>
        <v>2025</v>
      </c>
      <c r="E237" s="164">
        <f>_xlfn.ISOWEEKNUM(Runhours_Table[[#This Row],[Date]])</f>
        <v>7</v>
      </c>
      <c r="F237" s="160" t="str">
        <f>RIGHT(YEAR(Runhours_Table[[#This Row],[Date]]),2)&amp;TEXT(_xlfn.ISOWEEKNUM(Runhours_Table[[#This Row],[Date]]),"00")</f>
        <v>2507</v>
      </c>
      <c r="G237" s="38">
        <v>11.916389000000001</v>
      </c>
      <c r="H237" s="38">
        <v>19.383333</v>
      </c>
      <c r="I237" s="38">
        <f ca="1">_xlfn.ISOWEEKNUM(Runhours_Table[[#This Row],[Date]])+52*(Runhours_Table[[#This Row],[Year]]-YEAR(DATE(YEAR(TODAY()-WEEKDAY(TODAY()-1)+4),1,1)-MOD((DATE(YEAR(TODAY()-WEEKDAY(TODAY()-1)+4),1,1)-2),7)+(7*IF(MOD((DATE(YEAR(TODAY()-WEEKDAY(TODAY()-1)+4),1,1)-2),7)&gt;3,1,0))+7) )-_xlfn.ISOWEEKNUM(NOW())</f>
        <v>-30</v>
      </c>
      <c r="J237" s="345"/>
    </row>
    <row r="238" spans="1:10">
      <c r="A238" s="6" t="s">
        <v>4</v>
      </c>
      <c r="B238" s="6" t="str">
        <f>VLOOKUP(A238,Fleet[],2,FALSE)</f>
        <v>Intel</v>
      </c>
      <c r="C238" s="160">
        <v>45703</v>
      </c>
      <c r="D238" s="346">
        <f>YEAR(DATE(YEAR(Runhours_Table[[#This Row],[Date]]-WEEKDAY(Runhours_Table[[#This Row],[Date]]-1)+4),1,1)-MOD((DATE(YEAR(Runhours_Table[[#This Row],[Date]]-WEEKDAY(Runhours_Table[[#This Row],[Date]]-1)+4),1,1)-2),7)+(7*IF(MOD((DATE(YEAR(Runhours_Table[[#This Row],[Date]]-WEEKDAY(Runhours_Table[[#This Row],[Date]]-1)+4),1,1)-2),7)&gt;3,1,0))+7)</f>
        <v>2025</v>
      </c>
      <c r="E238" s="164">
        <f>_xlfn.ISOWEEKNUM(Runhours_Table[[#This Row],[Date]])</f>
        <v>7</v>
      </c>
      <c r="F238" s="160" t="str">
        <f>RIGHT(YEAR(Runhours_Table[[#This Row],[Date]]),2)&amp;TEXT(_xlfn.ISOWEEKNUM(Runhours_Table[[#This Row],[Date]]),"00")</f>
        <v>2507</v>
      </c>
      <c r="G238" s="38">
        <v>20.041944000000001</v>
      </c>
      <c r="H238" s="38">
        <v>22.266666000000001</v>
      </c>
      <c r="I238" s="38">
        <f ca="1">_xlfn.ISOWEEKNUM(Runhours_Table[[#This Row],[Date]])+52*(Runhours_Table[[#This Row],[Year]]-YEAR(DATE(YEAR(TODAY()-WEEKDAY(TODAY()-1)+4),1,1)-MOD((DATE(YEAR(TODAY()-WEEKDAY(TODAY()-1)+4),1,1)-2),7)+(7*IF(MOD((DATE(YEAR(TODAY()-WEEKDAY(TODAY()-1)+4),1,1)-2),7)&gt;3,1,0))+7) )-_xlfn.ISOWEEKNUM(NOW())</f>
        <v>-30</v>
      </c>
      <c r="J238" s="345"/>
    </row>
    <row r="239" spans="1:10">
      <c r="A239" s="6" t="s">
        <v>7</v>
      </c>
      <c r="B239" s="6" t="str">
        <f>VLOOKUP(A239,Fleet[],2,FALSE)</f>
        <v>Intel</v>
      </c>
      <c r="C239" s="160">
        <v>45703</v>
      </c>
      <c r="D239" s="346">
        <f>YEAR(DATE(YEAR(Runhours_Table[[#This Row],[Date]]-WEEKDAY(Runhours_Table[[#This Row],[Date]]-1)+4),1,1)-MOD((DATE(YEAR(Runhours_Table[[#This Row],[Date]]-WEEKDAY(Runhours_Table[[#This Row],[Date]]-1)+4),1,1)-2),7)+(7*IF(MOD((DATE(YEAR(Runhours_Table[[#This Row],[Date]]-WEEKDAY(Runhours_Table[[#This Row],[Date]]-1)+4),1,1)-2),7)&gt;3,1,0))+7)</f>
        <v>2025</v>
      </c>
      <c r="E239" s="164">
        <f>_xlfn.ISOWEEKNUM(Runhours_Table[[#This Row],[Date]])</f>
        <v>7</v>
      </c>
      <c r="F239" s="160" t="str">
        <f>RIGHT(YEAR(Runhours_Table[[#This Row],[Date]]),2)&amp;TEXT(_xlfn.ISOWEEKNUM(Runhours_Table[[#This Row],[Date]]),"00")</f>
        <v>2507</v>
      </c>
      <c r="G239" s="38">
        <v>15.978889000000001</v>
      </c>
      <c r="H239" s="38">
        <v>21.2</v>
      </c>
      <c r="I239" s="38">
        <f ca="1">_xlfn.ISOWEEKNUM(Runhours_Table[[#This Row],[Date]])+52*(Runhours_Table[[#This Row],[Year]]-YEAR(DATE(YEAR(TODAY()-WEEKDAY(TODAY()-1)+4),1,1)-MOD((DATE(YEAR(TODAY()-WEEKDAY(TODAY()-1)+4),1,1)-2),7)+(7*IF(MOD((DATE(YEAR(TODAY()-WEEKDAY(TODAY()-1)+4),1,1)-2),7)&gt;3,1,0))+7) )-_xlfn.ISOWEEKNUM(NOW())</f>
        <v>-30</v>
      </c>
      <c r="J239" s="345"/>
    </row>
    <row r="240" spans="1:10">
      <c r="A240" s="6" t="s">
        <v>4</v>
      </c>
      <c r="B240" s="6" t="str">
        <f>VLOOKUP(A240,Fleet[],2,FALSE)</f>
        <v>Intel</v>
      </c>
      <c r="C240" s="160">
        <v>45704</v>
      </c>
      <c r="D240" s="346">
        <f>YEAR(DATE(YEAR(Runhours_Table[[#This Row],[Date]]-WEEKDAY(Runhours_Table[[#This Row],[Date]]-1)+4),1,1)-MOD((DATE(YEAR(Runhours_Table[[#This Row],[Date]]-WEEKDAY(Runhours_Table[[#This Row],[Date]]-1)+4),1,1)-2),7)+(7*IF(MOD((DATE(YEAR(Runhours_Table[[#This Row],[Date]]-WEEKDAY(Runhours_Table[[#This Row],[Date]]-1)+4),1,1)-2),7)&gt;3,1,0))+7)</f>
        <v>2025</v>
      </c>
      <c r="E240" s="164">
        <f>_xlfn.ISOWEEKNUM(Runhours_Table[[#This Row],[Date]])</f>
        <v>7</v>
      </c>
      <c r="F240" s="160" t="str">
        <f>RIGHT(YEAR(Runhours_Table[[#This Row],[Date]]),2)&amp;TEXT(_xlfn.ISOWEEKNUM(Runhours_Table[[#This Row],[Date]]),"00")</f>
        <v>2507</v>
      </c>
      <c r="G240" s="38">
        <v>10.135278</v>
      </c>
      <c r="H240" s="38">
        <v>14.033334</v>
      </c>
      <c r="I240" s="38">
        <f ca="1">_xlfn.ISOWEEKNUM(Runhours_Table[[#This Row],[Date]])+52*(Runhours_Table[[#This Row],[Year]]-YEAR(DATE(YEAR(TODAY()-WEEKDAY(TODAY()-1)+4),1,1)-MOD((DATE(YEAR(TODAY()-WEEKDAY(TODAY()-1)+4),1,1)-2),7)+(7*IF(MOD((DATE(YEAR(TODAY()-WEEKDAY(TODAY()-1)+4),1,1)-2),7)&gt;3,1,0))+7) )-_xlfn.ISOWEEKNUM(NOW())</f>
        <v>-30</v>
      </c>
      <c r="J240" s="345"/>
    </row>
    <row r="241" spans="1:10">
      <c r="A241" s="6" t="s">
        <v>7</v>
      </c>
      <c r="B241" s="6" t="str">
        <f>VLOOKUP(A241,Fleet[],2,FALSE)</f>
        <v>Intel</v>
      </c>
      <c r="C241" s="160">
        <v>45704</v>
      </c>
      <c r="D241" s="346">
        <f>YEAR(DATE(YEAR(Runhours_Table[[#This Row],[Date]]-WEEKDAY(Runhours_Table[[#This Row],[Date]]-1)+4),1,1)-MOD((DATE(YEAR(Runhours_Table[[#This Row],[Date]]-WEEKDAY(Runhours_Table[[#This Row],[Date]]-1)+4),1,1)-2),7)+(7*IF(MOD((DATE(YEAR(Runhours_Table[[#This Row],[Date]]-WEEKDAY(Runhours_Table[[#This Row],[Date]]-1)+4),1,1)-2),7)&gt;3,1,0))+7)</f>
        <v>2025</v>
      </c>
      <c r="E241" s="164">
        <f>_xlfn.ISOWEEKNUM(Runhours_Table[[#This Row],[Date]])</f>
        <v>7</v>
      </c>
      <c r="F241" s="160" t="str">
        <f>RIGHT(YEAR(Runhours_Table[[#This Row],[Date]]),2)&amp;TEXT(_xlfn.ISOWEEKNUM(Runhours_Table[[#This Row],[Date]]),"00")</f>
        <v>2507</v>
      </c>
      <c r="G241" s="38">
        <v>15.263889000000001</v>
      </c>
      <c r="H241" s="38">
        <v>18.75</v>
      </c>
      <c r="I241" s="38">
        <f ca="1">_xlfn.ISOWEEKNUM(Runhours_Table[[#This Row],[Date]])+52*(Runhours_Table[[#This Row],[Year]]-YEAR(DATE(YEAR(TODAY()-WEEKDAY(TODAY()-1)+4),1,1)-MOD((DATE(YEAR(TODAY()-WEEKDAY(TODAY()-1)+4),1,1)-2),7)+(7*IF(MOD((DATE(YEAR(TODAY()-WEEKDAY(TODAY()-1)+4),1,1)-2),7)&gt;3,1,0))+7) )-_xlfn.ISOWEEKNUM(NOW())</f>
        <v>-30</v>
      </c>
      <c r="J241" s="345"/>
    </row>
    <row r="242" spans="1:10">
      <c r="A242" s="6" t="s">
        <v>4</v>
      </c>
      <c r="B242" s="6" t="str">
        <f>VLOOKUP(A242,Fleet[],2,FALSE)</f>
        <v>Intel</v>
      </c>
      <c r="C242" s="160">
        <v>45705</v>
      </c>
      <c r="D242" s="346">
        <f>YEAR(DATE(YEAR(Runhours_Table[[#This Row],[Date]]-WEEKDAY(Runhours_Table[[#This Row],[Date]]-1)+4),1,1)-MOD((DATE(YEAR(Runhours_Table[[#This Row],[Date]]-WEEKDAY(Runhours_Table[[#This Row],[Date]]-1)+4),1,1)-2),7)+(7*IF(MOD((DATE(YEAR(Runhours_Table[[#This Row],[Date]]-WEEKDAY(Runhours_Table[[#This Row],[Date]]-1)+4),1,1)-2),7)&gt;3,1,0))+7)</f>
        <v>2025</v>
      </c>
      <c r="E242" s="164">
        <f>_xlfn.ISOWEEKNUM(Runhours_Table[[#This Row],[Date]])</f>
        <v>8</v>
      </c>
      <c r="F242" s="160" t="str">
        <f>RIGHT(YEAR(Runhours_Table[[#This Row],[Date]]),2)&amp;TEXT(_xlfn.ISOWEEKNUM(Runhours_Table[[#This Row],[Date]]),"00")</f>
        <v>2508</v>
      </c>
      <c r="G242" s="38">
        <v>15.875556</v>
      </c>
      <c r="H242" s="38">
        <v>19.7</v>
      </c>
      <c r="I242" s="38">
        <f ca="1">_xlfn.ISOWEEKNUM(Runhours_Table[[#This Row],[Date]])+52*(Runhours_Table[[#This Row],[Year]]-YEAR(DATE(YEAR(TODAY()-WEEKDAY(TODAY()-1)+4),1,1)-MOD((DATE(YEAR(TODAY()-WEEKDAY(TODAY()-1)+4),1,1)-2),7)+(7*IF(MOD((DATE(YEAR(TODAY()-WEEKDAY(TODAY()-1)+4),1,1)-2),7)&gt;3,1,0))+7) )-_xlfn.ISOWEEKNUM(NOW())</f>
        <v>-29</v>
      </c>
      <c r="J242" s="345"/>
    </row>
    <row r="243" spans="1:10">
      <c r="A243" s="6" t="s">
        <v>7</v>
      </c>
      <c r="B243" s="6" t="str">
        <f>VLOOKUP(A243,Fleet[],2,FALSE)</f>
        <v>Intel</v>
      </c>
      <c r="C243" s="160">
        <v>45705</v>
      </c>
      <c r="D243" s="346">
        <f>YEAR(DATE(YEAR(Runhours_Table[[#This Row],[Date]]-WEEKDAY(Runhours_Table[[#This Row],[Date]]-1)+4),1,1)-MOD((DATE(YEAR(Runhours_Table[[#This Row],[Date]]-WEEKDAY(Runhours_Table[[#This Row],[Date]]-1)+4),1,1)-2),7)+(7*IF(MOD((DATE(YEAR(Runhours_Table[[#This Row],[Date]]-WEEKDAY(Runhours_Table[[#This Row],[Date]]-1)+4),1,1)-2),7)&gt;3,1,0))+7)</f>
        <v>2025</v>
      </c>
      <c r="E243" s="164">
        <f>_xlfn.ISOWEEKNUM(Runhours_Table[[#This Row],[Date]])</f>
        <v>8</v>
      </c>
      <c r="F243" s="160" t="str">
        <f>RIGHT(YEAR(Runhours_Table[[#This Row],[Date]]),2)&amp;TEXT(_xlfn.ISOWEEKNUM(Runhours_Table[[#This Row],[Date]]),"00")</f>
        <v>2508</v>
      </c>
      <c r="G243" s="38">
        <v>18.686667</v>
      </c>
      <c r="H243" s="38">
        <v>19.95</v>
      </c>
      <c r="I243" s="38">
        <f ca="1">_xlfn.ISOWEEKNUM(Runhours_Table[[#This Row],[Date]])+52*(Runhours_Table[[#This Row],[Year]]-YEAR(DATE(YEAR(TODAY()-WEEKDAY(TODAY()-1)+4),1,1)-MOD((DATE(YEAR(TODAY()-WEEKDAY(TODAY()-1)+4),1,1)-2),7)+(7*IF(MOD((DATE(YEAR(TODAY()-WEEKDAY(TODAY()-1)+4),1,1)-2),7)&gt;3,1,0))+7) )-_xlfn.ISOWEEKNUM(NOW())</f>
        <v>-29</v>
      </c>
      <c r="J243" s="345"/>
    </row>
    <row r="244" spans="1:10">
      <c r="A244" s="6" t="s">
        <v>4</v>
      </c>
      <c r="B244" s="6" t="str">
        <f>VLOOKUP(A244,Fleet[],2,FALSE)</f>
        <v>Intel</v>
      </c>
      <c r="C244" s="160">
        <v>45706</v>
      </c>
      <c r="D244" s="346">
        <f>YEAR(DATE(YEAR(Runhours_Table[[#This Row],[Date]]-WEEKDAY(Runhours_Table[[#This Row],[Date]]-1)+4),1,1)-MOD((DATE(YEAR(Runhours_Table[[#This Row],[Date]]-WEEKDAY(Runhours_Table[[#This Row],[Date]]-1)+4),1,1)-2),7)+(7*IF(MOD((DATE(YEAR(Runhours_Table[[#This Row],[Date]]-WEEKDAY(Runhours_Table[[#This Row],[Date]]-1)+4),1,1)-2),7)&gt;3,1,0))+7)</f>
        <v>2025</v>
      </c>
      <c r="E244" s="164">
        <f>_xlfn.ISOWEEKNUM(Runhours_Table[[#This Row],[Date]])</f>
        <v>8</v>
      </c>
      <c r="F244" s="160" t="str">
        <f>RIGHT(YEAR(Runhours_Table[[#This Row],[Date]]),2)&amp;TEXT(_xlfn.ISOWEEKNUM(Runhours_Table[[#This Row],[Date]]),"00")</f>
        <v>2508</v>
      </c>
      <c r="G244" s="38">
        <v>19.025832999999999</v>
      </c>
      <c r="H244" s="38">
        <v>22.733332999999998</v>
      </c>
      <c r="I244" s="38">
        <f ca="1">_xlfn.ISOWEEKNUM(Runhours_Table[[#This Row],[Date]])+52*(Runhours_Table[[#This Row],[Year]]-YEAR(DATE(YEAR(TODAY()-WEEKDAY(TODAY()-1)+4),1,1)-MOD((DATE(YEAR(TODAY()-WEEKDAY(TODAY()-1)+4),1,1)-2),7)+(7*IF(MOD((DATE(YEAR(TODAY()-WEEKDAY(TODAY()-1)+4),1,1)-2),7)&gt;3,1,0))+7) )-_xlfn.ISOWEEKNUM(NOW())</f>
        <v>-29</v>
      </c>
      <c r="J244" s="345"/>
    </row>
    <row r="245" spans="1:10">
      <c r="A245" s="6" t="s">
        <v>7</v>
      </c>
      <c r="B245" s="6" t="str">
        <f>VLOOKUP(A245,Fleet[],2,FALSE)</f>
        <v>Intel</v>
      </c>
      <c r="C245" s="160">
        <v>45706</v>
      </c>
      <c r="D245" s="346">
        <f>YEAR(DATE(YEAR(Runhours_Table[[#This Row],[Date]]-WEEKDAY(Runhours_Table[[#This Row],[Date]]-1)+4),1,1)-MOD((DATE(YEAR(Runhours_Table[[#This Row],[Date]]-WEEKDAY(Runhours_Table[[#This Row],[Date]]-1)+4),1,1)-2),7)+(7*IF(MOD((DATE(YEAR(Runhours_Table[[#This Row],[Date]]-WEEKDAY(Runhours_Table[[#This Row],[Date]]-1)+4),1,1)-2),7)&gt;3,1,0))+7)</f>
        <v>2025</v>
      </c>
      <c r="E245" s="164">
        <f>_xlfn.ISOWEEKNUM(Runhours_Table[[#This Row],[Date]])</f>
        <v>8</v>
      </c>
      <c r="F245" s="160" t="str">
        <f>RIGHT(YEAR(Runhours_Table[[#This Row],[Date]]),2)&amp;TEXT(_xlfn.ISOWEEKNUM(Runhours_Table[[#This Row],[Date]]),"00")</f>
        <v>2508</v>
      </c>
      <c r="G245" s="38">
        <v>12.612500000000001</v>
      </c>
      <c r="H245" s="38">
        <v>18.566667000000002</v>
      </c>
      <c r="I245" s="38">
        <f ca="1">_xlfn.ISOWEEKNUM(Runhours_Table[[#This Row],[Date]])+52*(Runhours_Table[[#This Row],[Year]]-YEAR(DATE(YEAR(TODAY()-WEEKDAY(TODAY()-1)+4),1,1)-MOD((DATE(YEAR(TODAY()-WEEKDAY(TODAY()-1)+4),1,1)-2),7)+(7*IF(MOD((DATE(YEAR(TODAY()-WEEKDAY(TODAY()-1)+4),1,1)-2),7)&gt;3,1,0))+7) )-_xlfn.ISOWEEKNUM(NOW())</f>
        <v>-29</v>
      </c>
      <c r="J245" s="345"/>
    </row>
    <row r="246" spans="1:10">
      <c r="A246" s="6" t="s">
        <v>4</v>
      </c>
      <c r="B246" s="6" t="str">
        <f>VLOOKUP(A246,Fleet[],2,FALSE)</f>
        <v>Intel</v>
      </c>
      <c r="C246" s="160">
        <v>45707</v>
      </c>
      <c r="D246" s="346">
        <f>YEAR(DATE(YEAR(Runhours_Table[[#This Row],[Date]]-WEEKDAY(Runhours_Table[[#This Row],[Date]]-1)+4),1,1)-MOD((DATE(YEAR(Runhours_Table[[#This Row],[Date]]-WEEKDAY(Runhours_Table[[#This Row],[Date]]-1)+4),1,1)-2),7)+(7*IF(MOD((DATE(YEAR(Runhours_Table[[#This Row],[Date]]-WEEKDAY(Runhours_Table[[#This Row],[Date]]-1)+4),1,1)-2),7)&gt;3,1,0))+7)</f>
        <v>2025</v>
      </c>
      <c r="E246" s="164">
        <f>_xlfn.ISOWEEKNUM(Runhours_Table[[#This Row],[Date]])</f>
        <v>8</v>
      </c>
      <c r="F246" s="160" t="str">
        <f>RIGHT(YEAR(Runhours_Table[[#This Row],[Date]]),2)&amp;TEXT(_xlfn.ISOWEEKNUM(Runhours_Table[[#This Row],[Date]]),"00")</f>
        <v>2508</v>
      </c>
      <c r="G246" s="38">
        <v>11.417222000000001</v>
      </c>
      <c r="H246" s="38">
        <v>20.450000000000003</v>
      </c>
      <c r="I246" s="38">
        <f ca="1">_xlfn.ISOWEEKNUM(Runhours_Table[[#This Row],[Date]])+52*(Runhours_Table[[#This Row],[Year]]-YEAR(DATE(YEAR(TODAY()-WEEKDAY(TODAY()-1)+4),1,1)-MOD((DATE(YEAR(TODAY()-WEEKDAY(TODAY()-1)+4),1,1)-2),7)+(7*IF(MOD((DATE(YEAR(TODAY()-WEEKDAY(TODAY()-1)+4),1,1)-2),7)&gt;3,1,0))+7) )-_xlfn.ISOWEEKNUM(NOW())</f>
        <v>-29</v>
      </c>
      <c r="J246" s="345"/>
    </row>
    <row r="247" spans="1:10">
      <c r="A247" s="6" t="s">
        <v>7</v>
      </c>
      <c r="B247" s="6" t="str">
        <f>VLOOKUP(A247,Fleet[],2,FALSE)</f>
        <v>Intel</v>
      </c>
      <c r="C247" s="160">
        <v>45707</v>
      </c>
      <c r="D247" s="346">
        <f>YEAR(DATE(YEAR(Runhours_Table[[#This Row],[Date]]-WEEKDAY(Runhours_Table[[#This Row],[Date]]-1)+4),1,1)-MOD((DATE(YEAR(Runhours_Table[[#This Row],[Date]]-WEEKDAY(Runhours_Table[[#This Row],[Date]]-1)+4),1,1)-2),7)+(7*IF(MOD((DATE(YEAR(Runhours_Table[[#This Row],[Date]]-WEEKDAY(Runhours_Table[[#This Row],[Date]]-1)+4),1,1)-2),7)&gt;3,1,0))+7)</f>
        <v>2025</v>
      </c>
      <c r="E247" s="164">
        <f>_xlfn.ISOWEEKNUM(Runhours_Table[[#This Row],[Date]])</f>
        <v>8</v>
      </c>
      <c r="F247" s="160" t="str">
        <f>RIGHT(YEAR(Runhours_Table[[#This Row],[Date]]),2)&amp;TEXT(_xlfn.ISOWEEKNUM(Runhours_Table[[#This Row],[Date]]),"00")</f>
        <v>2508</v>
      </c>
      <c r="G247" s="38">
        <v>19.762778000000001</v>
      </c>
      <c r="H247" s="38">
        <v>21.516667000000002</v>
      </c>
      <c r="I247" s="38">
        <f ca="1">_xlfn.ISOWEEKNUM(Runhours_Table[[#This Row],[Date]])+52*(Runhours_Table[[#This Row],[Year]]-YEAR(DATE(YEAR(TODAY()-WEEKDAY(TODAY()-1)+4),1,1)-MOD((DATE(YEAR(TODAY()-WEEKDAY(TODAY()-1)+4),1,1)-2),7)+(7*IF(MOD((DATE(YEAR(TODAY()-WEEKDAY(TODAY()-1)+4),1,1)-2),7)&gt;3,1,0))+7) )-_xlfn.ISOWEEKNUM(NOW())</f>
        <v>-29</v>
      </c>
      <c r="J247" s="345"/>
    </row>
    <row r="248" spans="1:10">
      <c r="A248" s="6" t="s">
        <v>4</v>
      </c>
      <c r="B248" s="6" t="str">
        <f>VLOOKUP(A248,Fleet[],2,FALSE)</f>
        <v>Intel</v>
      </c>
      <c r="C248" s="160">
        <v>45708</v>
      </c>
      <c r="D248" s="346">
        <f>YEAR(DATE(YEAR(Runhours_Table[[#This Row],[Date]]-WEEKDAY(Runhours_Table[[#This Row],[Date]]-1)+4),1,1)-MOD((DATE(YEAR(Runhours_Table[[#This Row],[Date]]-WEEKDAY(Runhours_Table[[#This Row],[Date]]-1)+4),1,1)-2),7)+(7*IF(MOD((DATE(YEAR(Runhours_Table[[#This Row],[Date]]-WEEKDAY(Runhours_Table[[#This Row],[Date]]-1)+4),1,1)-2),7)&gt;3,1,0))+7)</f>
        <v>2025</v>
      </c>
      <c r="E248" s="164">
        <f>_xlfn.ISOWEEKNUM(Runhours_Table[[#This Row],[Date]])</f>
        <v>8</v>
      </c>
      <c r="F248" s="160" t="str">
        <f>RIGHT(YEAR(Runhours_Table[[#This Row],[Date]]),2)&amp;TEXT(_xlfn.ISOWEEKNUM(Runhours_Table[[#This Row],[Date]]),"00")</f>
        <v>2508</v>
      </c>
      <c r="G248" s="38">
        <v>12.896667000000001</v>
      </c>
      <c r="H248" s="38">
        <v>20.616667</v>
      </c>
      <c r="I248" s="38">
        <f ca="1">_xlfn.ISOWEEKNUM(Runhours_Table[[#This Row],[Date]])+52*(Runhours_Table[[#This Row],[Year]]-YEAR(DATE(YEAR(TODAY()-WEEKDAY(TODAY()-1)+4),1,1)-MOD((DATE(YEAR(TODAY()-WEEKDAY(TODAY()-1)+4),1,1)-2),7)+(7*IF(MOD((DATE(YEAR(TODAY()-WEEKDAY(TODAY()-1)+4),1,1)-2),7)&gt;3,1,0))+7) )-_xlfn.ISOWEEKNUM(NOW())</f>
        <v>-29</v>
      </c>
      <c r="J248" s="345"/>
    </row>
    <row r="249" spans="1:10">
      <c r="A249" s="6" t="s">
        <v>7</v>
      </c>
      <c r="B249" s="6" t="str">
        <f>VLOOKUP(A249,Fleet[],2,FALSE)</f>
        <v>Intel</v>
      </c>
      <c r="C249" s="160">
        <v>45708</v>
      </c>
      <c r="D249" s="346">
        <f>YEAR(DATE(YEAR(Runhours_Table[[#This Row],[Date]]-WEEKDAY(Runhours_Table[[#This Row],[Date]]-1)+4),1,1)-MOD((DATE(YEAR(Runhours_Table[[#This Row],[Date]]-WEEKDAY(Runhours_Table[[#This Row],[Date]]-1)+4),1,1)-2),7)+(7*IF(MOD((DATE(YEAR(Runhours_Table[[#This Row],[Date]]-WEEKDAY(Runhours_Table[[#This Row],[Date]]-1)+4),1,1)-2),7)&gt;3,1,0))+7)</f>
        <v>2025</v>
      </c>
      <c r="E249" s="164">
        <f>_xlfn.ISOWEEKNUM(Runhours_Table[[#This Row],[Date]])</f>
        <v>8</v>
      </c>
      <c r="F249" s="160" t="str">
        <f>RIGHT(YEAR(Runhours_Table[[#This Row],[Date]]),2)&amp;TEXT(_xlfn.ISOWEEKNUM(Runhours_Table[[#This Row],[Date]]),"00")</f>
        <v>2508</v>
      </c>
      <c r="G249" s="38">
        <v>10.998611</v>
      </c>
      <c r="H249" s="38">
        <v>16.666667</v>
      </c>
      <c r="I249" s="38">
        <f ca="1">_xlfn.ISOWEEKNUM(Runhours_Table[[#This Row],[Date]])+52*(Runhours_Table[[#This Row],[Year]]-YEAR(DATE(YEAR(TODAY()-WEEKDAY(TODAY()-1)+4),1,1)-MOD((DATE(YEAR(TODAY()-WEEKDAY(TODAY()-1)+4),1,1)-2),7)+(7*IF(MOD((DATE(YEAR(TODAY()-WEEKDAY(TODAY()-1)+4),1,1)-2),7)&gt;3,1,0))+7) )-_xlfn.ISOWEEKNUM(NOW())</f>
        <v>-29</v>
      </c>
      <c r="J249" s="345"/>
    </row>
    <row r="250" spans="1:10">
      <c r="A250" s="6" t="s">
        <v>4</v>
      </c>
      <c r="B250" s="6" t="str">
        <f>VLOOKUP(A250,Fleet[],2,FALSE)</f>
        <v>Intel</v>
      </c>
      <c r="C250" s="160">
        <v>45709</v>
      </c>
      <c r="D250" s="346">
        <f>YEAR(DATE(YEAR(Runhours_Table[[#This Row],[Date]]-WEEKDAY(Runhours_Table[[#This Row],[Date]]-1)+4),1,1)-MOD((DATE(YEAR(Runhours_Table[[#This Row],[Date]]-WEEKDAY(Runhours_Table[[#This Row],[Date]]-1)+4),1,1)-2),7)+(7*IF(MOD((DATE(YEAR(Runhours_Table[[#This Row],[Date]]-WEEKDAY(Runhours_Table[[#This Row],[Date]]-1)+4),1,1)-2),7)&gt;3,1,0))+7)</f>
        <v>2025</v>
      </c>
      <c r="E250" s="164">
        <f>_xlfn.ISOWEEKNUM(Runhours_Table[[#This Row],[Date]])</f>
        <v>8</v>
      </c>
      <c r="F250" s="160" t="str">
        <f>RIGHT(YEAR(Runhours_Table[[#This Row],[Date]]),2)&amp;TEXT(_xlfn.ISOWEEKNUM(Runhours_Table[[#This Row],[Date]]),"00")</f>
        <v>2508</v>
      </c>
      <c r="G250" s="38">
        <v>9.5755560000000006</v>
      </c>
      <c r="H250" s="38">
        <v>13.666667</v>
      </c>
      <c r="I250" s="38">
        <f ca="1">_xlfn.ISOWEEKNUM(Runhours_Table[[#This Row],[Date]])+52*(Runhours_Table[[#This Row],[Year]]-YEAR(DATE(YEAR(TODAY()-WEEKDAY(TODAY()-1)+4),1,1)-MOD((DATE(YEAR(TODAY()-WEEKDAY(TODAY()-1)+4),1,1)-2),7)+(7*IF(MOD((DATE(YEAR(TODAY()-WEEKDAY(TODAY()-1)+4),1,1)-2),7)&gt;3,1,0))+7) )-_xlfn.ISOWEEKNUM(NOW())</f>
        <v>-29</v>
      </c>
      <c r="J250" s="345"/>
    </row>
    <row r="251" spans="1:10">
      <c r="A251" s="6" t="s">
        <v>7</v>
      </c>
      <c r="B251" s="6" t="str">
        <f>VLOOKUP(A251,Fleet[],2,FALSE)</f>
        <v>Intel</v>
      </c>
      <c r="C251" s="160">
        <v>45709</v>
      </c>
      <c r="D251" s="346">
        <f>YEAR(DATE(YEAR(Runhours_Table[[#This Row],[Date]]-WEEKDAY(Runhours_Table[[#This Row],[Date]]-1)+4),1,1)-MOD((DATE(YEAR(Runhours_Table[[#This Row],[Date]]-WEEKDAY(Runhours_Table[[#This Row],[Date]]-1)+4),1,1)-2),7)+(7*IF(MOD((DATE(YEAR(Runhours_Table[[#This Row],[Date]]-WEEKDAY(Runhours_Table[[#This Row],[Date]]-1)+4),1,1)-2),7)&gt;3,1,0))+7)</f>
        <v>2025</v>
      </c>
      <c r="E251" s="164">
        <f>_xlfn.ISOWEEKNUM(Runhours_Table[[#This Row],[Date]])</f>
        <v>8</v>
      </c>
      <c r="F251" s="160" t="str">
        <f>RIGHT(YEAR(Runhours_Table[[#This Row],[Date]]),2)&amp;TEXT(_xlfn.ISOWEEKNUM(Runhours_Table[[#This Row],[Date]]),"00")</f>
        <v>2508</v>
      </c>
      <c r="G251" s="38">
        <v>4.6663889999999997</v>
      </c>
      <c r="H251" s="38">
        <v>8.3666669999999996</v>
      </c>
      <c r="I251" s="38">
        <f ca="1">_xlfn.ISOWEEKNUM(Runhours_Table[[#This Row],[Date]])+52*(Runhours_Table[[#This Row],[Year]]-YEAR(DATE(YEAR(TODAY()-WEEKDAY(TODAY()-1)+4),1,1)-MOD((DATE(YEAR(TODAY()-WEEKDAY(TODAY()-1)+4),1,1)-2),7)+(7*IF(MOD((DATE(YEAR(TODAY()-WEEKDAY(TODAY()-1)+4),1,1)-2),7)&gt;3,1,0))+7) )-_xlfn.ISOWEEKNUM(NOW())</f>
        <v>-29</v>
      </c>
      <c r="J251" s="345"/>
    </row>
    <row r="252" spans="1:10">
      <c r="A252" s="6" t="s">
        <v>4</v>
      </c>
      <c r="B252" s="6" t="str">
        <f>VLOOKUP(A252,Fleet[],2,FALSE)</f>
        <v>Intel</v>
      </c>
      <c r="C252" s="160">
        <v>45710</v>
      </c>
      <c r="D252" s="346">
        <f>YEAR(DATE(YEAR(Runhours_Table[[#This Row],[Date]]-WEEKDAY(Runhours_Table[[#This Row],[Date]]-1)+4),1,1)-MOD((DATE(YEAR(Runhours_Table[[#This Row],[Date]]-WEEKDAY(Runhours_Table[[#This Row],[Date]]-1)+4),1,1)-2),7)+(7*IF(MOD((DATE(YEAR(Runhours_Table[[#This Row],[Date]]-WEEKDAY(Runhours_Table[[#This Row],[Date]]-1)+4),1,1)-2),7)&gt;3,1,0))+7)</f>
        <v>2025</v>
      </c>
      <c r="E252" s="164">
        <f>_xlfn.ISOWEEKNUM(Runhours_Table[[#This Row],[Date]])</f>
        <v>8</v>
      </c>
      <c r="F252" s="160" t="str">
        <f>RIGHT(YEAR(Runhours_Table[[#This Row],[Date]]),2)&amp;TEXT(_xlfn.ISOWEEKNUM(Runhours_Table[[#This Row],[Date]]),"00")</f>
        <v>2508</v>
      </c>
      <c r="G252" s="38">
        <v>16.277221999999998</v>
      </c>
      <c r="H252" s="38">
        <v>21.833332999999996</v>
      </c>
      <c r="I252" s="38">
        <f ca="1">_xlfn.ISOWEEKNUM(Runhours_Table[[#This Row],[Date]])+52*(Runhours_Table[[#This Row],[Year]]-YEAR(DATE(YEAR(TODAY()-WEEKDAY(TODAY()-1)+4),1,1)-MOD((DATE(YEAR(TODAY()-WEEKDAY(TODAY()-1)+4),1,1)-2),7)+(7*IF(MOD((DATE(YEAR(TODAY()-WEEKDAY(TODAY()-1)+4),1,1)-2),7)&gt;3,1,0))+7) )-_xlfn.ISOWEEKNUM(NOW())</f>
        <v>-29</v>
      </c>
      <c r="J252" s="345"/>
    </row>
    <row r="253" spans="1:10">
      <c r="A253" s="6" t="s">
        <v>7</v>
      </c>
      <c r="B253" s="6" t="str">
        <f>VLOOKUP(A253,Fleet[],2,FALSE)</f>
        <v>Intel</v>
      </c>
      <c r="C253" s="160">
        <v>45710</v>
      </c>
      <c r="D253" s="346">
        <f>YEAR(DATE(YEAR(Runhours_Table[[#This Row],[Date]]-WEEKDAY(Runhours_Table[[#This Row],[Date]]-1)+4),1,1)-MOD((DATE(YEAR(Runhours_Table[[#This Row],[Date]]-WEEKDAY(Runhours_Table[[#This Row],[Date]]-1)+4),1,1)-2),7)+(7*IF(MOD((DATE(YEAR(Runhours_Table[[#This Row],[Date]]-WEEKDAY(Runhours_Table[[#This Row],[Date]]-1)+4),1,1)-2),7)&gt;3,1,0))+7)</f>
        <v>2025</v>
      </c>
      <c r="E253" s="164">
        <f>_xlfn.ISOWEEKNUM(Runhours_Table[[#This Row],[Date]])</f>
        <v>8</v>
      </c>
      <c r="F253" s="160" t="str">
        <f>RIGHT(YEAR(Runhours_Table[[#This Row],[Date]]),2)&amp;TEXT(_xlfn.ISOWEEKNUM(Runhours_Table[[#This Row],[Date]]),"00")</f>
        <v>2508</v>
      </c>
      <c r="G253" s="38">
        <v>1.1322220000000001</v>
      </c>
      <c r="H253" s="38">
        <v>9.9500000000000011</v>
      </c>
      <c r="I253" s="38">
        <f ca="1">_xlfn.ISOWEEKNUM(Runhours_Table[[#This Row],[Date]])+52*(Runhours_Table[[#This Row],[Year]]-YEAR(DATE(YEAR(TODAY()-WEEKDAY(TODAY()-1)+4),1,1)-MOD((DATE(YEAR(TODAY()-WEEKDAY(TODAY()-1)+4),1,1)-2),7)+(7*IF(MOD((DATE(YEAR(TODAY()-WEEKDAY(TODAY()-1)+4),1,1)-2),7)&gt;3,1,0))+7) )-_xlfn.ISOWEEKNUM(NOW())</f>
        <v>-29</v>
      </c>
      <c r="J253" s="345"/>
    </row>
    <row r="254" spans="1:10">
      <c r="A254" s="6" t="s">
        <v>4</v>
      </c>
      <c r="B254" s="6" t="str">
        <f>VLOOKUP(A254,Fleet[],2,FALSE)</f>
        <v>Intel</v>
      </c>
      <c r="C254" s="160">
        <v>45711</v>
      </c>
      <c r="D254" s="346">
        <f>YEAR(DATE(YEAR(Runhours_Table[[#This Row],[Date]]-WEEKDAY(Runhours_Table[[#This Row],[Date]]-1)+4),1,1)-MOD((DATE(YEAR(Runhours_Table[[#This Row],[Date]]-WEEKDAY(Runhours_Table[[#This Row],[Date]]-1)+4),1,1)-2),7)+(7*IF(MOD((DATE(YEAR(Runhours_Table[[#This Row],[Date]]-WEEKDAY(Runhours_Table[[#This Row],[Date]]-1)+4),1,1)-2),7)&gt;3,1,0))+7)</f>
        <v>2025</v>
      </c>
      <c r="E254" s="164">
        <f>_xlfn.ISOWEEKNUM(Runhours_Table[[#This Row],[Date]])</f>
        <v>8</v>
      </c>
      <c r="F254" s="160" t="str">
        <f>RIGHT(YEAR(Runhours_Table[[#This Row],[Date]]),2)&amp;TEXT(_xlfn.ISOWEEKNUM(Runhours_Table[[#This Row],[Date]]),"00")</f>
        <v>2508</v>
      </c>
      <c r="G254" s="38">
        <v>15.285</v>
      </c>
      <c r="H254" s="38">
        <v>19.850000000000001</v>
      </c>
      <c r="I254" s="38">
        <f ca="1">_xlfn.ISOWEEKNUM(Runhours_Table[[#This Row],[Date]])+52*(Runhours_Table[[#This Row],[Year]]-YEAR(DATE(YEAR(TODAY()-WEEKDAY(TODAY()-1)+4),1,1)-MOD((DATE(YEAR(TODAY()-WEEKDAY(TODAY()-1)+4),1,1)-2),7)+(7*IF(MOD((DATE(YEAR(TODAY()-WEEKDAY(TODAY()-1)+4),1,1)-2),7)&gt;3,1,0))+7) )-_xlfn.ISOWEEKNUM(NOW())</f>
        <v>-29</v>
      </c>
      <c r="J254" s="345"/>
    </row>
    <row r="255" spans="1:10">
      <c r="A255" s="6" t="s">
        <v>7</v>
      </c>
      <c r="B255" s="6" t="str">
        <f>VLOOKUP(A255,Fleet[],2,FALSE)</f>
        <v>Intel</v>
      </c>
      <c r="C255" s="160">
        <v>45711</v>
      </c>
      <c r="D255" s="346">
        <f>YEAR(DATE(YEAR(Runhours_Table[[#This Row],[Date]]-WEEKDAY(Runhours_Table[[#This Row],[Date]]-1)+4),1,1)-MOD((DATE(YEAR(Runhours_Table[[#This Row],[Date]]-WEEKDAY(Runhours_Table[[#This Row],[Date]]-1)+4),1,1)-2),7)+(7*IF(MOD((DATE(YEAR(Runhours_Table[[#This Row],[Date]]-WEEKDAY(Runhours_Table[[#This Row],[Date]]-1)+4),1,1)-2),7)&gt;3,1,0))+7)</f>
        <v>2025</v>
      </c>
      <c r="E255" s="164">
        <f>_xlfn.ISOWEEKNUM(Runhours_Table[[#This Row],[Date]])</f>
        <v>8</v>
      </c>
      <c r="F255" s="160" t="str">
        <f>RIGHT(YEAR(Runhours_Table[[#This Row],[Date]]),2)&amp;TEXT(_xlfn.ISOWEEKNUM(Runhours_Table[[#This Row],[Date]]),"00")</f>
        <v>2508</v>
      </c>
      <c r="G255" s="38">
        <v>4.8458329999999998</v>
      </c>
      <c r="H255" s="38">
        <v>19.133333</v>
      </c>
      <c r="I255" s="38">
        <f ca="1">_xlfn.ISOWEEKNUM(Runhours_Table[[#This Row],[Date]])+52*(Runhours_Table[[#This Row],[Year]]-YEAR(DATE(YEAR(TODAY()-WEEKDAY(TODAY()-1)+4),1,1)-MOD((DATE(YEAR(TODAY()-WEEKDAY(TODAY()-1)+4),1,1)-2),7)+(7*IF(MOD((DATE(YEAR(TODAY()-WEEKDAY(TODAY()-1)+4),1,1)-2),7)&gt;3,1,0))+7) )-_xlfn.ISOWEEKNUM(NOW())</f>
        <v>-29</v>
      </c>
      <c r="J255" s="345"/>
    </row>
    <row r="256" spans="1:10">
      <c r="A256" s="6" t="s">
        <v>4</v>
      </c>
      <c r="B256" s="6" t="str">
        <f>VLOOKUP(A256,Fleet[],2,FALSE)</f>
        <v>Intel</v>
      </c>
      <c r="C256" s="160">
        <v>45712</v>
      </c>
      <c r="D256" s="346">
        <f>YEAR(DATE(YEAR(Runhours_Table[[#This Row],[Date]]-WEEKDAY(Runhours_Table[[#This Row],[Date]]-1)+4),1,1)-MOD((DATE(YEAR(Runhours_Table[[#This Row],[Date]]-WEEKDAY(Runhours_Table[[#This Row],[Date]]-1)+4),1,1)-2),7)+(7*IF(MOD((DATE(YEAR(Runhours_Table[[#This Row],[Date]]-WEEKDAY(Runhours_Table[[#This Row],[Date]]-1)+4),1,1)-2),7)&gt;3,1,0))+7)</f>
        <v>2025</v>
      </c>
      <c r="E256" s="164">
        <f>_xlfn.ISOWEEKNUM(Runhours_Table[[#This Row],[Date]])</f>
        <v>9</v>
      </c>
      <c r="F256" s="160" t="str">
        <f>RIGHT(YEAR(Runhours_Table[[#This Row],[Date]]),2)&amp;TEXT(_xlfn.ISOWEEKNUM(Runhours_Table[[#This Row],[Date]]),"00")</f>
        <v>2509</v>
      </c>
      <c r="G256" s="38">
        <v>15.046389</v>
      </c>
      <c r="H256" s="38">
        <v>18.183333000000001</v>
      </c>
      <c r="I256" s="38">
        <f ca="1">_xlfn.ISOWEEKNUM(Runhours_Table[[#This Row],[Date]])+52*(Runhours_Table[[#This Row],[Year]]-YEAR(DATE(YEAR(TODAY()-WEEKDAY(TODAY()-1)+4),1,1)-MOD((DATE(YEAR(TODAY()-WEEKDAY(TODAY()-1)+4),1,1)-2),7)+(7*IF(MOD((DATE(YEAR(TODAY()-WEEKDAY(TODAY()-1)+4),1,1)-2),7)&gt;3,1,0))+7) )-_xlfn.ISOWEEKNUM(NOW())</f>
        <v>-28</v>
      </c>
      <c r="J256" s="345"/>
    </row>
    <row r="257" spans="1:10">
      <c r="A257" s="6" t="s">
        <v>7</v>
      </c>
      <c r="B257" s="6" t="str">
        <f>VLOOKUP(A257,Fleet[],2,FALSE)</f>
        <v>Intel</v>
      </c>
      <c r="C257" s="160">
        <v>45712</v>
      </c>
      <c r="D257" s="346">
        <f>YEAR(DATE(YEAR(Runhours_Table[[#This Row],[Date]]-WEEKDAY(Runhours_Table[[#This Row],[Date]]-1)+4),1,1)-MOD((DATE(YEAR(Runhours_Table[[#This Row],[Date]]-WEEKDAY(Runhours_Table[[#This Row],[Date]]-1)+4),1,1)-2),7)+(7*IF(MOD((DATE(YEAR(Runhours_Table[[#This Row],[Date]]-WEEKDAY(Runhours_Table[[#This Row],[Date]]-1)+4),1,1)-2),7)&gt;3,1,0))+7)</f>
        <v>2025</v>
      </c>
      <c r="E257" s="164">
        <f>_xlfn.ISOWEEKNUM(Runhours_Table[[#This Row],[Date]])</f>
        <v>9</v>
      </c>
      <c r="F257" s="160" t="str">
        <f>RIGHT(YEAR(Runhours_Table[[#This Row],[Date]]),2)&amp;TEXT(_xlfn.ISOWEEKNUM(Runhours_Table[[#This Row],[Date]]),"00")</f>
        <v>2509</v>
      </c>
      <c r="G257" s="38">
        <v>5.0088889999999999</v>
      </c>
      <c r="H257" s="38">
        <v>9.1166669999999996</v>
      </c>
      <c r="I257" s="38">
        <f ca="1">_xlfn.ISOWEEKNUM(Runhours_Table[[#This Row],[Date]])+52*(Runhours_Table[[#This Row],[Year]]-YEAR(DATE(YEAR(TODAY()-WEEKDAY(TODAY()-1)+4),1,1)-MOD((DATE(YEAR(TODAY()-WEEKDAY(TODAY()-1)+4),1,1)-2),7)+(7*IF(MOD((DATE(YEAR(TODAY()-WEEKDAY(TODAY()-1)+4),1,1)-2),7)&gt;3,1,0))+7) )-_xlfn.ISOWEEKNUM(NOW())</f>
        <v>-28</v>
      </c>
      <c r="J257" s="345"/>
    </row>
    <row r="258" spans="1:10">
      <c r="A258" s="6" t="s">
        <v>4</v>
      </c>
      <c r="B258" s="6" t="str">
        <f>VLOOKUP(A258,Fleet[],2,FALSE)</f>
        <v>Intel</v>
      </c>
      <c r="C258" s="160">
        <v>45713</v>
      </c>
      <c r="D258" s="346">
        <f>YEAR(DATE(YEAR(Runhours_Table[[#This Row],[Date]]-WEEKDAY(Runhours_Table[[#This Row],[Date]]-1)+4),1,1)-MOD((DATE(YEAR(Runhours_Table[[#This Row],[Date]]-WEEKDAY(Runhours_Table[[#This Row],[Date]]-1)+4),1,1)-2),7)+(7*IF(MOD((DATE(YEAR(Runhours_Table[[#This Row],[Date]]-WEEKDAY(Runhours_Table[[#This Row],[Date]]-1)+4),1,1)-2),7)&gt;3,1,0))+7)</f>
        <v>2025</v>
      </c>
      <c r="E258" s="164">
        <f>_xlfn.ISOWEEKNUM(Runhours_Table[[#This Row],[Date]])</f>
        <v>9</v>
      </c>
      <c r="F258" s="160" t="str">
        <f>RIGHT(YEAR(Runhours_Table[[#This Row],[Date]]),2)&amp;TEXT(_xlfn.ISOWEEKNUM(Runhours_Table[[#This Row],[Date]]),"00")</f>
        <v>2509</v>
      </c>
      <c r="G258" s="38">
        <v>8.5944439999999993</v>
      </c>
      <c r="H258" s="38">
        <v>9.733333</v>
      </c>
      <c r="I258" s="38">
        <f ca="1">_xlfn.ISOWEEKNUM(Runhours_Table[[#This Row],[Date]])+52*(Runhours_Table[[#This Row],[Year]]-YEAR(DATE(YEAR(TODAY()-WEEKDAY(TODAY()-1)+4),1,1)-MOD((DATE(YEAR(TODAY()-WEEKDAY(TODAY()-1)+4),1,1)-2),7)+(7*IF(MOD((DATE(YEAR(TODAY()-WEEKDAY(TODAY()-1)+4),1,1)-2),7)&gt;3,1,0))+7) )-_xlfn.ISOWEEKNUM(NOW())</f>
        <v>-28</v>
      </c>
      <c r="J258" s="345"/>
    </row>
    <row r="259" spans="1:10">
      <c r="A259" s="6" t="s">
        <v>7</v>
      </c>
      <c r="B259" s="6" t="str">
        <f>VLOOKUP(A259,Fleet[],2,FALSE)</f>
        <v>Intel</v>
      </c>
      <c r="C259" s="160">
        <v>45713</v>
      </c>
      <c r="D259" s="346">
        <f>YEAR(DATE(YEAR(Runhours_Table[[#This Row],[Date]]-WEEKDAY(Runhours_Table[[#This Row],[Date]]-1)+4),1,1)-MOD((DATE(YEAR(Runhours_Table[[#This Row],[Date]]-WEEKDAY(Runhours_Table[[#This Row],[Date]]-1)+4),1,1)-2),7)+(7*IF(MOD((DATE(YEAR(Runhours_Table[[#This Row],[Date]]-WEEKDAY(Runhours_Table[[#This Row],[Date]]-1)+4),1,1)-2),7)&gt;3,1,0))+7)</f>
        <v>2025</v>
      </c>
      <c r="E259" s="164">
        <f>_xlfn.ISOWEEKNUM(Runhours_Table[[#This Row],[Date]])</f>
        <v>9</v>
      </c>
      <c r="F259" s="160" t="str">
        <f>RIGHT(YEAR(Runhours_Table[[#This Row],[Date]]),2)&amp;TEXT(_xlfn.ISOWEEKNUM(Runhours_Table[[#This Row],[Date]]),"00")</f>
        <v>2509</v>
      </c>
      <c r="G259" s="38">
        <v>21.093056000000001</v>
      </c>
      <c r="H259" s="38">
        <v>22.333334000000001</v>
      </c>
      <c r="I259" s="38">
        <f ca="1">_xlfn.ISOWEEKNUM(Runhours_Table[[#This Row],[Date]])+52*(Runhours_Table[[#This Row],[Year]]-YEAR(DATE(YEAR(TODAY()-WEEKDAY(TODAY()-1)+4),1,1)-MOD((DATE(YEAR(TODAY()-WEEKDAY(TODAY()-1)+4),1,1)-2),7)+(7*IF(MOD((DATE(YEAR(TODAY()-WEEKDAY(TODAY()-1)+4),1,1)-2),7)&gt;3,1,0))+7) )-_xlfn.ISOWEEKNUM(NOW())</f>
        <v>-28</v>
      </c>
      <c r="J259" s="345"/>
    </row>
    <row r="260" spans="1:10">
      <c r="A260" s="6" t="s">
        <v>4</v>
      </c>
      <c r="B260" s="6" t="str">
        <f>VLOOKUP(A260,Fleet[],2,FALSE)</f>
        <v>Intel</v>
      </c>
      <c r="C260" s="160">
        <v>45714</v>
      </c>
      <c r="D260" s="346">
        <f>YEAR(DATE(YEAR(Runhours_Table[[#This Row],[Date]]-WEEKDAY(Runhours_Table[[#This Row],[Date]]-1)+4),1,1)-MOD((DATE(YEAR(Runhours_Table[[#This Row],[Date]]-WEEKDAY(Runhours_Table[[#This Row],[Date]]-1)+4),1,1)-2),7)+(7*IF(MOD((DATE(YEAR(Runhours_Table[[#This Row],[Date]]-WEEKDAY(Runhours_Table[[#This Row],[Date]]-1)+4),1,1)-2),7)&gt;3,1,0))+7)</f>
        <v>2025</v>
      </c>
      <c r="E260" s="164">
        <f>_xlfn.ISOWEEKNUM(Runhours_Table[[#This Row],[Date]])</f>
        <v>9</v>
      </c>
      <c r="F260" s="160" t="str">
        <f>RIGHT(YEAR(Runhours_Table[[#This Row],[Date]]),2)&amp;TEXT(_xlfn.ISOWEEKNUM(Runhours_Table[[#This Row],[Date]]),"00")</f>
        <v>2509</v>
      </c>
      <c r="G260" s="38"/>
      <c r="H260" s="38">
        <v>0</v>
      </c>
      <c r="I260" s="38">
        <f ca="1">_xlfn.ISOWEEKNUM(Runhours_Table[[#This Row],[Date]])+52*(Runhours_Table[[#This Row],[Year]]-YEAR(DATE(YEAR(TODAY()-WEEKDAY(TODAY()-1)+4),1,1)-MOD((DATE(YEAR(TODAY()-WEEKDAY(TODAY()-1)+4),1,1)-2),7)+(7*IF(MOD((DATE(YEAR(TODAY()-WEEKDAY(TODAY()-1)+4),1,1)-2),7)&gt;3,1,0))+7) )-_xlfn.ISOWEEKNUM(NOW())</f>
        <v>-28</v>
      </c>
      <c r="J260" s="345"/>
    </row>
    <row r="261" spans="1:10">
      <c r="A261" s="6" t="s">
        <v>7</v>
      </c>
      <c r="B261" s="6" t="str">
        <f>VLOOKUP(A261,Fleet[],2,FALSE)</f>
        <v>Intel</v>
      </c>
      <c r="C261" s="160">
        <v>45714</v>
      </c>
      <c r="D261" s="346">
        <f>YEAR(DATE(YEAR(Runhours_Table[[#This Row],[Date]]-WEEKDAY(Runhours_Table[[#This Row],[Date]]-1)+4),1,1)-MOD((DATE(YEAR(Runhours_Table[[#This Row],[Date]]-WEEKDAY(Runhours_Table[[#This Row],[Date]]-1)+4),1,1)-2),7)+(7*IF(MOD((DATE(YEAR(Runhours_Table[[#This Row],[Date]]-WEEKDAY(Runhours_Table[[#This Row],[Date]]-1)+4),1,1)-2),7)&gt;3,1,0))+7)</f>
        <v>2025</v>
      </c>
      <c r="E261" s="164">
        <f>_xlfn.ISOWEEKNUM(Runhours_Table[[#This Row],[Date]])</f>
        <v>9</v>
      </c>
      <c r="F261" s="160" t="str">
        <f>RIGHT(YEAR(Runhours_Table[[#This Row],[Date]]),2)&amp;TEXT(_xlfn.ISOWEEKNUM(Runhours_Table[[#This Row],[Date]]),"00")</f>
        <v>2509</v>
      </c>
      <c r="G261" s="38">
        <v>15.643056</v>
      </c>
      <c r="H261" s="38">
        <v>23.866667</v>
      </c>
      <c r="I261" s="38">
        <f ca="1">_xlfn.ISOWEEKNUM(Runhours_Table[[#This Row],[Date]])+52*(Runhours_Table[[#This Row],[Year]]-YEAR(DATE(YEAR(TODAY()-WEEKDAY(TODAY()-1)+4),1,1)-MOD((DATE(YEAR(TODAY()-WEEKDAY(TODAY()-1)+4),1,1)-2),7)+(7*IF(MOD((DATE(YEAR(TODAY()-WEEKDAY(TODAY()-1)+4),1,1)-2),7)&gt;3,1,0))+7) )-_xlfn.ISOWEEKNUM(NOW())</f>
        <v>-28</v>
      </c>
      <c r="J261" s="345"/>
    </row>
    <row r="262" spans="1:10">
      <c r="A262" s="6" t="s">
        <v>4</v>
      </c>
      <c r="B262" s="6" t="str">
        <f>VLOOKUP(A262,Fleet[],2,FALSE)</f>
        <v>Intel</v>
      </c>
      <c r="C262" s="160">
        <v>45715</v>
      </c>
      <c r="D262" s="346">
        <f>YEAR(DATE(YEAR(Runhours_Table[[#This Row],[Date]]-WEEKDAY(Runhours_Table[[#This Row],[Date]]-1)+4),1,1)-MOD((DATE(YEAR(Runhours_Table[[#This Row],[Date]]-WEEKDAY(Runhours_Table[[#This Row],[Date]]-1)+4),1,1)-2),7)+(7*IF(MOD((DATE(YEAR(Runhours_Table[[#This Row],[Date]]-WEEKDAY(Runhours_Table[[#This Row],[Date]]-1)+4),1,1)-2),7)&gt;3,1,0))+7)</f>
        <v>2025</v>
      </c>
      <c r="E262" s="164">
        <f>_xlfn.ISOWEEKNUM(Runhours_Table[[#This Row],[Date]])</f>
        <v>9</v>
      </c>
      <c r="F262" s="160" t="str">
        <f>RIGHT(YEAR(Runhours_Table[[#This Row],[Date]]),2)&amp;TEXT(_xlfn.ISOWEEKNUM(Runhours_Table[[#This Row],[Date]]),"00")</f>
        <v>2509</v>
      </c>
      <c r="G262" s="38"/>
      <c r="H262" s="38">
        <v>0</v>
      </c>
      <c r="I262" s="38">
        <f ca="1">_xlfn.ISOWEEKNUM(Runhours_Table[[#This Row],[Date]])+52*(Runhours_Table[[#This Row],[Year]]-YEAR(DATE(YEAR(TODAY()-WEEKDAY(TODAY()-1)+4),1,1)-MOD((DATE(YEAR(TODAY()-WEEKDAY(TODAY()-1)+4),1,1)-2),7)+(7*IF(MOD((DATE(YEAR(TODAY()-WEEKDAY(TODAY()-1)+4),1,1)-2),7)&gt;3,1,0))+7) )-_xlfn.ISOWEEKNUM(NOW())</f>
        <v>-28</v>
      </c>
      <c r="J262" s="345"/>
    </row>
    <row r="263" spans="1:10">
      <c r="A263" s="6" t="s">
        <v>7</v>
      </c>
      <c r="B263" s="6" t="str">
        <f>VLOOKUP(A263,Fleet[],2,FALSE)</f>
        <v>Intel</v>
      </c>
      <c r="C263" s="160">
        <v>45715</v>
      </c>
      <c r="D263" s="346">
        <f>YEAR(DATE(YEAR(Runhours_Table[[#This Row],[Date]]-WEEKDAY(Runhours_Table[[#This Row],[Date]]-1)+4),1,1)-MOD((DATE(YEAR(Runhours_Table[[#This Row],[Date]]-WEEKDAY(Runhours_Table[[#This Row],[Date]]-1)+4),1,1)-2),7)+(7*IF(MOD((DATE(YEAR(Runhours_Table[[#This Row],[Date]]-WEEKDAY(Runhours_Table[[#This Row],[Date]]-1)+4),1,1)-2),7)&gt;3,1,0))+7)</f>
        <v>2025</v>
      </c>
      <c r="E263" s="164">
        <f>_xlfn.ISOWEEKNUM(Runhours_Table[[#This Row],[Date]])</f>
        <v>9</v>
      </c>
      <c r="F263" s="160" t="str">
        <f>RIGHT(YEAR(Runhours_Table[[#This Row],[Date]]),2)&amp;TEXT(_xlfn.ISOWEEKNUM(Runhours_Table[[#This Row],[Date]]),"00")</f>
        <v>2509</v>
      </c>
      <c r="G263" s="38">
        <v>19.209721999999999</v>
      </c>
      <c r="H263" s="38">
        <v>21.599999999999998</v>
      </c>
      <c r="I263" s="38">
        <f ca="1">_xlfn.ISOWEEKNUM(Runhours_Table[[#This Row],[Date]])+52*(Runhours_Table[[#This Row],[Year]]-YEAR(DATE(YEAR(TODAY()-WEEKDAY(TODAY()-1)+4),1,1)-MOD((DATE(YEAR(TODAY()-WEEKDAY(TODAY()-1)+4),1,1)-2),7)+(7*IF(MOD((DATE(YEAR(TODAY()-WEEKDAY(TODAY()-1)+4),1,1)-2),7)&gt;3,1,0))+7) )-_xlfn.ISOWEEKNUM(NOW())</f>
        <v>-28</v>
      </c>
      <c r="J263" s="345"/>
    </row>
    <row r="264" spans="1:10">
      <c r="A264" s="6" t="s">
        <v>4</v>
      </c>
      <c r="B264" s="6" t="str">
        <f>VLOOKUP(A264,Fleet[],2,FALSE)</f>
        <v>Intel</v>
      </c>
      <c r="C264" s="160">
        <v>45716</v>
      </c>
      <c r="D264" s="346">
        <f>YEAR(DATE(YEAR(Runhours_Table[[#This Row],[Date]]-WEEKDAY(Runhours_Table[[#This Row],[Date]]-1)+4),1,1)-MOD((DATE(YEAR(Runhours_Table[[#This Row],[Date]]-WEEKDAY(Runhours_Table[[#This Row],[Date]]-1)+4),1,1)-2),7)+(7*IF(MOD((DATE(YEAR(Runhours_Table[[#This Row],[Date]]-WEEKDAY(Runhours_Table[[#This Row],[Date]]-1)+4),1,1)-2),7)&gt;3,1,0))+7)</f>
        <v>2025</v>
      </c>
      <c r="E264" s="164">
        <f>_xlfn.ISOWEEKNUM(Runhours_Table[[#This Row],[Date]])</f>
        <v>9</v>
      </c>
      <c r="F264" s="160" t="str">
        <f>RIGHT(YEAR(Runhours_Table[[#This Row],[Date]]),2)&amp;TEXT(_xlfn.ISOWEEKNUM(Runhours_Table[[#This Row],[Date]]),"00")</f>
        <v>2509</v>
      </c>
      <c r="G264" s="38"/>
      <c r="H264" s="38">
        <v>0</v>
      </c>
      <c r="I264" s="38">
        <f ca="1">_xlfn.ISOWEEKNUM(Runhours_Table[[#This Row],[Date]])+52*(Runhours_Table[[#This Row],[Year]]-YEAR(DATE(YEAR(TODAY()-WEEKDAY(TODAY()-1)+4),1,1)-MOD((DATE(YEAR(TODAY()-WEEKDAY(TODAY()-1)+4),1,1)-2),7)+(7*IF(MOD((DATE(YEAR(TODAY()-WEEKDAY(TODAY()-1)+4),1,1)-2),7)&gt;3,1,0))+7) )-_xlfn.ISOWEEKNUM(NOW())</f>
        <v>-28</v>
      </c>
      <c r="J264" s="345"/>
    </row>
    <row r="265" spans="1:10">
      <c r="A265" s="6" t="s">
        <v>7</v>
      </c>
      <c r="B265" s="6" t="str">
        <f>VLOOKUP(A265,Fleet[],2,FALSE)</f>
        <v>Intel</v>
      </c>
      <c r="C265" s="160">
        <v>45716</v>
      </c>
      <c r="D265" s="346">
        <f>YEAR(DATE(YEAR(Runhours_Table[[#This Row],[Date]]-WEEKDAY(Runhours_Table[[#This Row],[Date]]-1)+4),1,1)-MOD((DATE(YEAR(Runhours_Table[[#This Row],[Date]]-WEEKDAY(Runhours_Table[[#This Row],[Date]]-1)+4),1,1)-2),7)+(7*IF(MOD((DATE(YEAR(Runhours_Table[[#This Row],[Date]]-WEEKDAY(Runhours_Table[[#This Row],[Date]]-1)+4),1,1)-2),7)&gt;3,1,0))+7)</f>
        <v>2025</v>
      </c>
      <c r="E265" s="164">
        <f>_xlfn.ISOWEEKNUM(Runhours_Table[[#This Row],[Date]])</f>
        <v>9</v>
      </c>
      <c r="F265" s="160" t="str">
        <f>RIGHT(YEAR(Runhours_Table[[#This Row],[Date]]),2)&amp;TEXT(_xlfn.ISOWEEKNUM(Runhours_Table[[#This Row],[Date]]),"00")</f>
        <v>2509</v>
      </c>
      <c r="G265" s="38">
        <v>13.261388999999999</v>
      </c>
      <c r="H265" s="38">
        <v>22.45</v>
      </c>
      <c r="I265" s="38">
        <f ca="1">_xlfn.ISOWEEKNUM(Runhours_Table[[#This Row],[Date]])+52*(Runhours_Table[[#This Row],[Year]]-YEAR(DATE(YEAR(TODAY()-WEEKDAY(TODAY()-1)+4),1,1)-MOD((DATE(YEAR(TODAY()-WEEKDAY(TODAY()-1)+4),1,1)-2),7)+(7*IF(MOD((DATE(YEAR(TODAY()-WEEKDAY(TODAY()-1)+4),1,1)-2),7)&gt;3,1,0))+7) )-_xlfn.ISOWEEKNUM(NOW())</f>
        <v>-28</v>
      </c>
      <c r="J265" s="345"/>
    </row>
    <row r="266" spans="1:10">
      <c r="A266" s="6" t="s">
        <v>4</v>
      </c>
      <c r="B266" s="6" t="str">
        <f>VLOOKUP(A266,Fleet[],2,FALSE)</f>
        <v>Intel</v>
      </c>
      <c r="C266" s="160">
        <v>45717</v>
      </c>
      <c r="D266" s="346">
        <f>YEAR(DATE(YEAR(Runhours_Table[[#This Row],[Date]]-WEEKDAY(Runhours_Table[[#This Row],[Date]]-1)+4),1,1)-MOD((DATE(YEAR(Runhours_Table[[#This Row],[Date]]-WEEKDAY(Runhours_Table[[#This Row],[Date]]-1)+4),1,1)-2),7)+(7*IF(MOD((DATE(YEAR(Runhours_Table[[#This Row],[Date]]-WEEKDAY(Runhours_Table[[#This Row],[Date]]-1)+4),1,1)-2),7)&gt;3,1,0))+7)</f>
        <v>2025</v>
      </c>
      <c r="E266" s="164">
        <f>_xlfn.ISOWEEKNUM(Runhours_Table[[#This Row],[Date]])</f>
        <v>9</v>
      </c>
      <c r="F266" s="160" t="str">
        <f>RIGHT(YEAR(Runhours_Table[[#This Row],[Date]]),2)&amp;TEXT(_xlfn.ISOWEEKNUM(Runhours_Table[[#This Row],[Date]]),"00")</f>
        <v>2509</v>
      </c>
      <c r="G266" s="38"/>
      <c r="H266" s="38">
        <v>0</v>
      </c>
      <c r="I266" s="38">
        <f ca="1">_xlfn.ISOWEEKNUM(Runhours_Table[[#This Row],[Date]])+52*(Runhours_Table[[#This Row],[Year]]-YEAR(DATE(YEAR(TODAY()-WEEKDAY(TODAY()-1)+4),1,1)-MOD((DATE(YEAR(TODAY()-WEEKDAY(TODAY()-1)+4),1,1)-2),7)+(7*IF(MOD((DATE(YEAR(TODAY()-WEEKDAY(TODAY()-1)+4),1,1)-2),7)&gt;3,1,0))+7) )-_xlfn.ISOWEEKNUM(NOW())</f>
        <v>-28</v>
      </c>
      <c r="J266" s="345"/>
    </row>
    <row r="267" spans="1:10">
      <c r="A267" s="6" t="s">
        <v>7</v>
      </c>
      <c r="B267" s="6" t="str">
        <f>VLOOKUP(A267,Fleet[],2,FALSE)</f>
        <v>Intel</v>
      </c>
      <c r="C267" s="160">
        <v>45717</v>
      </c>
      <c r="D267" s="346">
        <f>YEAR(DATE(YEAR(Runhours_Table[[#This Row],[Date]]-WEEKDAY(Runhours_Table[[#This Row],[Date]]-1)+4),1,1)-MOD((DATE(YEAR(Runhours_Table[[#This Row],[Date]]-WEEKDAY(Runhours_Table[[#This Row],[Date]]-1)+4),1,1)-2),7)+(7*IF(MOD((DATE(YEAR(Runhours_Table[[#This Row],[Date]]-WEEKDAY(Runhours_Table[[#This Row],[Date]]-1)+4),1,1)-2),7)&gt;3,1,0))+7)</f>
        <v>2025</v>
      </c>
      <c r="E267" s="164">
        <f>_xlfn.ISOWEEKNUM(Runhours_Table[[#This Row],[Date]])</f>
        <v>9</v>
      </c>
      <c r="F267" s="160" t="str">
        <f>RIGHT(YEAR(Runhours_Table[[#This Row],[Date]]),2)&amp;TEXT(_xlfn.ISOWEEKNUM(Runhours_Table[[#This Row],[Date]]),"00")</f>
        <v>2509</v>
      </c>
      <c r="G267" s="38">
        <v>16.091388999999999</v>
      </c>
      <c r="H267" s="38">
        <v>22.033332999999999</v>
      </c>
      <c r="I267" s="38">
        <f ca="1">_xlfn.ISOWEEKNUM(Runhours_Table[[#This Row],[Date]])+52*(Runhours_Table[[#This Row],[Year]]-YEAR(DATE(YEAR(TODAY()-WEEKDAY(TODAY()-1)+4),1,1)-MOD((DATE(YEAR(TODAY()-WEEKDAY(TODAY()-1)+4),1,1)-2),7)+(7*IF(MOD((DATE(YEAR(TODAY()-WEEKDAY(TODAY()-1)+4),1,1)-2),7)&gt;3,1,0))+7) )-_xlfn.ISOWEEKNUM(NOW())</f>
        <v>-28</v>
      </c>
      <c r="J267" s="345"/>
    </row>
    <row r="268" spans="1:10">
      <c r="A268" s="6" t="s">
        <v>4</v>
      </c>
      <c r="B268" s="6" t="str">
        <f>VLOOKUP(A268,Fleet[],2,FALSE)</f>
        <v>Intel</v>
      </c>
      <c r="C268" s="160">
        <v>45718</v>
      </c>
      <c r="D268" s="346">
        <f>YEAR(DATE(YEAR(Runhours_Table[[#This Row],[Date]]-WEEKDAY(Runhours_Table[[#This Row],[Date]]-1)+4),1,1)-MOD((DATE(YEAR(Runhours_Table[[#This Row],[Date]]-WEEKDAY(Runhours_Table[[#This Row],[Date]]-1)+4),1,1)-2),7)+(7*IF(MOD((DATE(YEAR(Runhours_Table[[#This Row],[Date]]-WEEKDAY(Runhours_Table[[#This Row],[Date]]-1)+4),1,1)-2),7)&gt;3,1,0))+7)</f>
        <v>2025</v>
      </c>
      <c r="E268" s="164">
        <f>_xlfn.ISOWEEKNUM(Runhours_Table[[#This Row],[Date]])</f>
        <v>9</v>
      </c>
      <c r="F268" s="160" t="str">
        <f>RIGHT(YEAR(Runhours_Table[[#This Row],[Date]]),2)&amp;TEXT(_xlfn.ISOWEEKNUM(Runhours_Table[[#This Row],[Date]]),"00")</f>
        <v>2509</v>
      </c>
      <c r="G268" s="38"/>
      <c r="H268" s="38">
        <v>0</v>
      </c>
      <c r="I268" s="38">
        <f ca="1">_xlfn.ISOWEEKNUM(Runhours_Table[[#This Row],[Date]])+52*(Runhours_Table[[#This Row],[Year]]-YEAR(DATE(YEAR(TODAY()-WEEKDAY(TODAY()-1)+4),1,1)-MOD((DATE(YEAR(TODAY()-WEEKDAY(TODAY()-1)+4),1,1)-2),7)+(7*IF(MOD((DATE(YEAR(TODAY()-WEEKDAY(TODAY()-1)+4),1,1)-2),7)&gt;3,1,0))+7) )-_xlfn.ISOWEEKNUM(NOW())</f>
        <v>-28</v>
      </c>
      <c r="J268" s="345"/>
    </row>
    <row r="269" spans="1:10">
      <c r="A269" s="6" t="s">
        <v>7</v>
      </c>
      <c r="B269" s="6" t="str">
        <f>VLOOKUP(A269,Fleet[],2,FALSE)</f>
        <v>Intel</v>
      </c>
      <c r="C269" s="160">
        <v>45718</v>
      </c>
      <c r="D269" s="346">
        <f>YEAR(DATE(YEAR(Runhours_Table[[#This Row],[Date]]-WEEKDAY(Runhours_Table[[#This Row],[Date]]-1)+4),1,1)-MOD((DATE(YEAR(Runhours_Table[[#This Row],[Date]]-WEEKDAY(Runhours_Table[[#This Row],[Date]]-1)+4),1,1)-2),7)+(7*IF(MOD((DATE(YEAR(Runhours_Table[[#This Row],[Date]]-WEEKDAY(Runhours_Table[[#This Row],[Date]]-1)+4),1,1)-2),7)&gt;3,1,0))+7)</f>
        <v>2025</v>
      </c>
      <c r="E269" s="164">
        <f>_xlfn.ISOWEEKNUM(Runhours_Table[[#This Row],[Date]])</f>
        <v>9</v>
      </c>
      <c r="F269" s="160" t="str">
        <f>RIGHT(YEAR(Runhours_Table[[#This Row],[Date]]),2)&amp;TEXT(_xlfn.ISOWEEKNUM(Runhours_Table[[#This Row],[Date]]),"00")</f>
        <v>2509</v>
      </c>
      <c r="G269" s="38">
        <v>12.365</v>
      </c>
      <c r="H269" s="38">
        <v>15.85</v>
      </c>
      <c r="I269" s="38">
        <f ca="1">_xlfn.ISOWEEKNUM(Runhours_Table[[#This Row],[Date]])+52*(Runhours_Table[[#This Row],[Year]]-YEAR(DATE(YEAR(TODAY()-WEEKDAY(TODAY()-1)+4),1,1)-MOD((DATE(YEAR(TODAY()-WEEKDAY(TODAY()-1)+4),1,1)-2),7)+(7*IF(MOD((DATE(YEAR(TODAY()-WEEKDAY(TODAY()-1)+4),1,1)-2),7)&gt;3,1,0))+7) )-_xlfn.ISOWEEKNUM(NOW())</f>
        <v>-28</v>
      </c>
      <c r="J269" s="345"/>
    </row>
    <row r="270" spans="1:10">
      <c r="A270" s="6" t="s">
        <v>4</v>
      </c>
      <c r="B270" s="6" t="str">
        <f>VLOOKUP(A270,Fleet[],2,FALSE)</f>
        <v>Intel</v>
      </c>
      <c r="C270" s="160">
        <v>45719</v>
      </c>
      <c r="D270" s="346">
        <f>YEAR(DATE(YEAR(Runhours_Table[[#This Row],[Date]]-WEEKDAY(Runhours_Table[[#This Row],[Date]]-1)+4),1,1)-MOD((DATE(YEAR(Runhours_Table[[#This Row],[Date]]-WEEKDAY(Runhours_Table[[#This Row],[Date]]-1)+4),1,1)-2),7)+(7*IF(MOD((DATE(YEAR(Runhours_Table[[#This Row],[Date]]-WEEKDAY(Runhours_Table[[#This Row],[Date]]-1)+4),1,1)-2),7)&gt;3,1,0))+7)</f>
        <v>2025</v>
      </c>
      <c r="E270" s="164">
        <f>_xlfn.ISOWEEKNUM(Runhours_Table[[#This Row],[Date]])</f>
        <v>10</v>
      </c>
      <c r="F270" s="160" t="str">
        <f>RIGHT(YEAR(Runhours_Table[[#This Row],[Date]]),2)&amp;TEXT(_xlfn.ISOWEEKNUM(Runhours_Table[[#This Row],[Date]]),"00")</f>
        <v>2510</v>
      </c>
      <c r="G270" s="38"/>
      <c r="H270" s="38">
        <v>0</v>
      </c>
      <c r="I270" s="38">
        <f ca="1">_xlfn.ISOWEEKNUM(Runhours_Table[[#This Row],[Date]])+52*(Runhours_Table[[#This Row],[Year]]-YEAR(DATE(YEAR(TODAY()-WEEKDAY(TODAY()-1)+4),1,1)-MOD((DATE(YEAR(TODAY()-WEEKDAY(TODAY()-1)+4),1,1)-2),7)+(7*IF(MOD((DATE(YEAR(TODAY()-WEEKDAY(TODAY()-1)+4),1,1)-2),7)&gt;3,1,0))+7) )-_xlfn.ISOWEEKNUM(NOW())</f>
        <v>-27</v>
      </c>
      <c r="J270" s="345"/>
    </row>
    <row r="271" spans="1:10">
      <c r="A271" s="6" t="s">
        <v>7</v>
      </c>
      <c r="B271" s="6" t="str">
        <f>VLOOKUP(A271,Fleet[],2,FALSE)</f>
        <v>Intel</v>
      </c>
      <c r="C271" s="160">
        <v>45719</v>
      </c>
      <c r="D271" s="346">
        <f>YEAR(DATE(YEAR(Runhours_Table[[#This Row],[Date]]-WEEKDAY(Runhours_Table[[#This Row],[Date]]-1)+4),1,1)-MOD((DATE(YEAR(Runhours_Table[[#This Row],[Date]]-WEEKDAY(Runhours_Table[[#This Row],[Date]]-1)+4),1,1)-2),7)+(7*IF(MOD((DATE(YEAR(Runhours_Table[[#This Row],[Date]]-WEEKDAY(Runhours_Table[[#This Row],[Date]]-1)+4),1,1)-2),7)&gt;3,1,0))+7)</f>
        <v>2025</v>
      </c>
      <c r="E271" s="164">
        <f>_xlfn.ISOWEEKNUM(Runhours_Table[[#This Row],[Date]])</f>
        <v>10</v>
      </c>
      <c r="F271" s="160" t="str">
        <f>RIGHT(YEAR(Runhours_Table[[#This Row],[Date]]),2)&amp;TEXT(_xlfn.ISOWEEKNUM(Runhours_Table[[#This Row],[Date]]),"00")</f>
        <v>2510</v>
      </c>
      <c r="G271" s="38">
        <v>18.785</v>
      </c>
      <c r="H271" s="38">
        <v>21.833333</v>
      </c>
      <c r="I271" s="38">
        <f ca="1">_xlfn.ISOWEEKNUM(Runhours_Table[[#This Row],[Date]])+52*(Runhours_Table[[#This Row],[Year]]-YEAR(DATE(YEAR(TODAY()-WEEKDAY(TODAY()-1)+4),1,1)-MOD((DATE(YEAR(TODAY()-WEEKDAY(TODAY()-1)+4),1,1)-2),7)+(7*IF(MOD((DATE(YEAR(TODAY()-WEEKDAY(TODAY()-1)+4),1,1)-2),7)&gt;3,1,0))+7) )-_xlfn.ISOWEEKNUM(NOW())</f>
        <v>-27</v>
      </c>
      <c r="J271" s="345"/>
    </row>
    <row r="272" spans="1:10">
      <c r="A272" s="6" t="s">
        <v>4</v>
      </c>
      <c r="B272" s="6" t="str">
        <f>VLOOKUP(A272,Fleet[],2,FALSE)</f>
        <v>Intel</v>
      </c>
      <c r="C272" s="160">
        <v>45720</v>
      </c>
      <c r="D272" s="346">
        <f>YEAR(DATE(YEAR(Runhours_Table[[#This Row],[Date]]-WEEKDAY(Runhours_Table[[#This Row],[Date]]-1)+4),1,1)-MOD((DATE(YEAR(Runhours_Table[[#This Row],[Date]]-WEEKDAY(Runhours_Table[[#This Row],[Date]]-1)+4),1,1)-2),7)+(7*IF(MOD((DATE(YEAR(Runhours_Table[[#This Row],[Date]]-WEEKDAY(Runhours_Table[[#This Row],[Date]]-1)+4),1,1)-2),7)&gt;3,1,0))+7)</f>
        <v>2025</v>
      </c>
      <c r="E272" s="164">
        <f>_xlfn.ISOWEEKNUM(Runhours_Table[[#This Row],[Date]])</f>
        <v>10</v>
      </c>
      <c r="F272" s="160" t="str">
        <f>RIGHT(YEAR(Runhours_Table[[#This Row],[Date]]),2)&amp;TEXT(_xlfn.ISOWEEKNUM(Runhours_Table[[#This Row],[Date]]),"00")</f>
        <v>2510</v>
      </c>
      <c r="G272" s="38"/>
      <c r="H272" s="38">
        <v>0</v>
      </c>
      <c r="I272" s="38">
        <f ca="1">_xlfn.ISOWEEKNUM(Runhours_Table[[#This Row],[Date]])+52*(Runhours_Table[[#This Row],[Year]]-YEAR(DATE(YEAR(TODAY()-WEEKDAY(TODAY()-1)+4),1,1)-MOD((DATE(YEAR(TODAY()-WEEKDAY(TODAY()-1)+4),1,1)-2),7)+(7*IF(MOD((DATE(YEAR(TODAY()-WEEKDAY(TODAY()-1)+4),1,1)-2),7)&gt;3,1,0))+7) )-_xlfn.ISOWEEKNUM(NOW())</f>
        <v>-27</v>
      </c>
      <c r="J272" s="345"/>
    </row>
    <row r="273" spans="1:10">
      <c r="A273" s="6" t="s">
        <v>7</v>
      </c>
      <c r="B273" s="6" t="str">
        <f>VLOOKUP(A273,Fleet[],2,FALSE)</f>
        <v>Intel</v>
      </c>
      <c r="C273" s="160">
        <v>45720</v>
      </c>
      <c r="D273" s="346">
        <f>YEAR(DATE(YEAR(Runhours_Table[[#This Row],[Date]]-WEEKDAY(Runhours_Table[[#This Row],[Date]]-1)+4),1,1)-MOD((DATE(YEAR(Runhours_Table[[#This Row],[Date]]-WEEKDAY(Runhours_Table[[#This Row],[Date]]-1)+4),1,1)-2),7)+(7*IF(MOD((DATE(YEAR(Runhours_Table[[#This Row],[Date]]-WEEKDAY(Runhours_Table[[#This Row],[Date]]-1)+4),1,1)-2),7)&gt;3,1,0))+7)</f>
        <v>2025</v>
      </c>
      <c r="E273" s="164">
        <f>_xlfn.ISOWEEKNUM(Runhours_Table[[#This Row],[Date]])</f>
        <v>10</v>
      </c>
      <c r="F273" s="160" t="str">
        <f>RIGHT(YEAR(Runhours_Table[[#This Row],[Date]]),2)&amp;TEXT(_xlfn.ISOWEEKNUM(Runhours_Table[[#This Row],[Date]]),"00")</f>
        <v>2510</v>
      </c>
      <c r="G273" s="38">
        <v>13.975833</v>
      </c>
      <c r="H273" s="38">
        <v>17.766666000000001</v>
      </c>
      <c r="I273" s="38">
        <f ca="1">_xlfn.ISOWEEKNUM(Runhours_Table[[#This Row],[Date]])+52*(Runhours_Table[[#This Row],[Year]]-YEAR(DATE(YEAR(TODAY()-WEEKDAY(TODAY()-1)+4),1,1)-MOD((DATE(YEAR(TODAY()-WEEKDAY(TODAY()-1)+4),1,1)-2),7)+(7*IF(MOD((DATE(YEAR(TODAY()-WEEKDAY(TODAY()-1)+4),1,1)-2),7)&gt;3,1,0))+7) )-_xlfn.ISOWEEKNUM(NOW())</f>
        <v>-27</v>
      </c>
      <c r="J273" s="345"/>
    </row>
    <row r="274" spans="1:10">
      <c r="A274" s="6" t="s">
        <v>4</v>
      </c>
      <c r="B274" s="6" t="str">
        <f>VLOOKUP(A274,Fleet[],2,FALSE)</f>
        <v>Intel</v>
      </c>
      <c r="C274" s="160">
        <v>45721</v>
      </c>
      <c r="D274" s="346">
        <f>YEAR(DATE(YEAR(Runhours_Table[[#This Row],[Date]]-WEEKDAY(Runhours_Table[[#This Row],[Date]]-1)+4),1,1)-MOD((DATE(YEAR(Runhours_Table[[#This Row],[Date]]-WEEKDAY(Runhours_Table[[#This Row],[Date]]-1)+4),1,1)-2),7)+(7*IF(MOD((DATE(YEAR(Runhours_Table[[#This Row],[Date]]-WEEKDAY(Runhours_Table[[#This Row],[Date]]-1)+4),1,1)-2),7)&gt;3,1,0))+7)</f>
        <v>2025</v>
      </c>
      <c r="E274" s="164">
        <f>_xlfn.ISOWEEKNUM(Runhours_Table[[#This Row],[Date]])</f>
        <v>10</v>
      </c>
      <c r="F274" s="160" t="str">
        <f>RIGHT(YEAR(Runhours_Table[[#This Row],[Date]]),2)&amp;TEXT(_xlfn.ISOWEEKNUM(Runhours_Table[[#This Row],[Date]]),"00")</f>
        <v>2510</v>
      </c>
      <c r="G274" s="38"/>
      <c r="H274" s="38">
        <v>0</v>
      </c>
      <c r="I274" s="38">
        <f ca="1">_xlfn.ISOWEEKNUM(Runhours_Table[[#This Row],[Date]])+52*(Runhours_Table[[#This Row],[Year]]-YEAR(DATE(YEAR(TODAY()-WEEKDAY(TODAY()-1)+4),1,1)-MOD((DATE(YEAR(TODAY()-WEEKDAY(TODAY()-1)+4),1,1)-2),7)+(7*IF(MOD((DATE(YEAR(TODAY()-WEEKDAY(TODAY()-1)+4),1,1)-2),7)&gt;3,1,0))+7) )-_xlfn.ISOWEEKNUM(NOW())</f>
        <v>-27</v>
      </c>
      <c r="J274" s="345"/>
    </row>
    <row r="275" spans="1:10">
      <c r="A275" s="6" t="s">
        <v>7</v>
      </c>
      <c r="B275" s="6" t="str">
        <f>VLOOKUP(A275,Fleet[],2,FALSE)</f>
        <v>Intel</v>
      </c>
      <c r="C275" s="160">
        <v>45721</v>
      </c>
      <c r="D275" s="346">
        <f>YEAR(DATE(YEAR(Runhours_Table[[#This Row],[Date]]-WEEKDAY(Runhours_Table[[#This Row],[Date]]-1)+4),1,1)-MOD((DATE(YEAR(Runhours_Table[[#This Row],[Date]]-WEEKDAY(Runhours_Table[[#This Row],[Date]]-1)+4),1,1)-2),7)+(7*IF(MOD((DATE(YEAR(Runhours_Table[[#This Row],[Date]]-WEEKDAY(Runhours_Table[[#This Row],[Date]]-1)+4),1,1)-2),7)&gt;3,1,0))+7)</f>
        <v>2025</v>
      </c>
      <c r="E275" s="164">
        <f>_xlfn.ISOWEEKNUM(Runhours_Table[[#This Row],[Date]])</f>
        <v>10</v>
      </c>
      <c r="F275" s="160" t="str">
        <f>RIGHT(YEAR(Runhours_Table[[#This Row],[Date]]),2)&amp;TEXT(_xlfn.ISOWEEKNUM(Runhours_Table[[#This Row],[Date]]),"00")</f>
        <v>2510</v>
      </c>
      <c r="G275" s="38">
        <v>20.772500000000001</v>
      </c>
      <c r="H275" s="38">
        <v>23.816667000000002</v>
      </c>
      <c r="I275" s="38">
        <f ca="1">_xlfn.ISOWEEKNUM(Runhours_Table[[#This Row],[Date]])+52*(Runhours_Table[[#This Row],[Year]]-YEAR(DATE(YEAR(TODAY()-WEEKDAY(TODAY()-1)+4),1,1)-MOD((DATE(YEAR(TODAY()-WEEKDAY(TODAY()-1)+4),1,1)-2),7)+(7*IF(MOD((DATE(YEAR(TODAY()-WEEKDAY(TODAY()-1)+4),1,1)-2),7)&gt;3,1,0))+7) )-_xlfn.ISOWEEKNUM(NOW())</f>
        <v>-27</v>
      </c>
      <c r="J275" s="345"/>
    </row>
    <row r="276" spans="1:10">
      <c r="A276" s="6" t="s">
        <v>4</v>
      </c>
      <c r="B276" s="6" t="str">
        <f>VLOOKUP(A276,Fleet[],2,FALSE)</f>
        <v>Intel</v>
      </c>
      <c r="C276" s="160">
        <v>45722</v>
      </c>
      <c r="D276" s="346">
        <f>YEAR(DATE(YEAR(Runhours_Table[[#This Row],[Date]]-WEEKDAY(Runhours_Table[[#This Row],[Date]]-1)+4),1,1)-MOD((DATE(YEAR(Runhours_Table[[#This Row],[Date]]-WEEKDAY(Runhours_Table[[#This Row],[Date]]-1)+4),1,1)-2),7)+(7*IF(MOD((DATE(YEAR(Runhours_Table[[#This Row],[Date]]-WEEKDAY(Runhours_Table[[#This Row],[Date]]-1)+4),1,1)-2),7)&gt;3,1,0))+7)</f>
        <v>2025</v>
      </c>
      <c r="E276" s="164">
        <f>_xlfn.ISOWEEKNUM(Runhours_Table[[#This Row],[Date]])</f>
        <v>10</v>
      </c>
      <c r="F276" s="160" t="str">
        <f>RIGHT(YEAR(Runhours_Table[[#This Row],[Date]]),2)&amp;TEXT(_xlfn.ISOWEEKNUM(Runhours_Table[[#This Row],[Date]]),"00")</f>
        <v>2510</v>
      </c>
      <c r="G276" s="38">
        <v>1.0149999999999999</v>
      </c>
      <c r="H276" s="38">
        <v>3.4333330000000002</v>
      </c>
      <c r="I276" s="38">
        <f ca="1">_xlfn.ISOWEEKNUM(Runhours_Table[[#This Row],[Date]])+52*(Runhours_Table[[#This Row],[Year]]-YEAR(DATE(YEAR(TODAY()-WEEKDAY(TODAY()-1)+4),1,1)-MOD((DATE(YEAR(TODAY()-WEEKDAY(TODAY()-1)+4),1,1)-2),7)+(7*IF(MOD((DATE(YEAR(TODAY()-WEEKDAY(TODAY()-1)+4),1,1)-2),7)&gt;3,1,0))+7) )-_xlfn.ISOWEEKNUM(NOW())</f>
        <v>-27</v>
      </c>
      <c r="J276" s="345"/>
    </row>
    <row r="277" spans="1:10">
      <c r="A277" s="6" t="s">
        <v>7</v>
      </c>
      <c r="B277" s="6" t="str">
        <f>VLOOKUP(A277,Fleet[],2,FALSE)</f>
        <v>Intel</v>
      </c>
      <c r="C277" s="160">
        <v>45722</v>
      </c>
      <c r="D277" s="346">
        <f>YEAR(DATE(YEAR(Runhours_Table[[#This Row],[Date]]-WEEKDAY(Runhours_Table[[#This Row],[Date]]-1)+4),1,1)-MOD((DATE(YEAR(Runhours_Table[[#This Row],[Date]]-WEEKDAY(Runhours_Table[[#This Row],[Date]]-1)+4),1,1)-2),7)+(7*IF(MOD((DATE(YEAR(Runhours_Table[[#This Row],[Date]]-WEEKDAY(Runhours_Table[[#This Row],[Date]]-1)+4),1,1)-2),7)&gt;3,1,0))+7)</f>
        <v>2025</v>
      </c>
      <c r="E277" s="164">
        <f>_xlfn.ISOWEEKNUM(Runhours_Table[[#This Row],[Date]])</f>
        <v>10</v>
      </c>
      <c r="F277" s="160" t="str">
        <f>RIGHT(YEAR(Runhours_Table[[#This Row],[Date]]),2)&amp;TEXT(_xlfn.ISOWEEKNUM(Runhours_Table[[#This Row],[Date]]),"00")</f>
        <v>2510</v>
      </c>
      <c r="G277" s="38">
        <v>5.6025</v>
      </c>
      <c r="H277" s="38">
        <v>20.116667</v>
      </c>
      <c r="I277" s="38">
        <f ca="1">_xlfn.ISOWEEKNUM(Runhours_Table[[#This Row],[Date]])+52*(Runhours_Table[[#This Row],[Year]]-YEAR(DATE(YEAR(TODAY()-WEEKDAY(TODAY()-1)+4),1,1)-MOD((DATE(YEAR(TODAY()-WEEKDAY(TODAY()-1)+4),1,1)-2),7)+(7*IF(MOD((DATE(YEAR(TODAY()-WEEKDAY(TODAY()-1)+4),1,1)-2),7)&gt;3,1,0))+7) )-_xlfn.ISOWEEKNUM(NOW())</f>
        <v>-27</v>
      </c>
      <c r="J277" s="345"/>
    </row>
    <row r="278" spans="1:10">
      <c r="A278" s="6" t="s">
        <v>4</v>
      </c>
      <c r="B278" s="6" t="str">
        <f>VLOOKUP(A278,Fleet[],2,FALSE)</f>
        <v>Intel</v>
      </c>
      <c r="C278" s="160">
        <v>45723</v>
      </c>
      <c r="D278" s="346">
        <f>YEAR(DATE(YEAR(Runhours_Table[[#This Row],[Date]]-WEEKDAY(Runhours_Table[[#This Row],[Date]]-1)+4),1,1)-MOD((DATE(YEAR(Runhours_Table[[#This Row],[Date]]-WEEKDAY(Runhours_Table[[#This Row],[Date]]-1)+4),1,1)-2),7)+(7*IF(MOD((DATE(YEAR(Runhours_Table[[#This Row],[Date]]-WEEKDAY(Runhours_Table[[#This Row],[Date]]-1)+4),1,1)-2),7)&gt;3,1,0))+7)</f>
        <v>2025</v>
      </c>
      <c r="E278" s="164">
        <f>_xlfn.ISOWEEKNUM(Runhours_Table[[#This Row],[Date]])</f>
        <v>10</v>
      </c>
      <c r="F278" s="160" t="str">
        <f>RIGHT(YEAR(Runhours_Table[[#This Row],[Date]]),2)&amp;TEXT(_xlfn.ISOWEEKNUM(Runhours_Table[[#This Row],[Date]]),"00")</f>
        <v>2510</v>
      </c>
      <c r="G278" s="38">
        <v>4.9880560000000003</v>
      </c>
      <c r="H278" s="38">
        <v>21.283334</v>
      </c>
      <c r="I278" s="38">
        <f ca="1">_xlfn.ISOWEEKNUM(Runhours_Table[[#This Row],[Date]])+52*(Runhours_Table[[#This Row],[Year]]-YEAR(DATE(YEAR(TODAY()-WEEKDAY(TODAY()-1)+4),1,1)-MOD((DATE(YEAR(TODAY()-WEEKDAY(TODAY()-1)+4),1,1)-2),7)+(7*IF(MOD((DATE(YEAR(TODAY()-WEEKDAY(TODAY()-1)+4),1,1)-2),7)&gt;3,1,0))+7) )-_xlfn.ISOWEEKNUM(NOW())</f>
        <v>-27</v>
      </c>
      <c r="J278" s="345"/>
    </row>
    <row r="279" spans="1:10">
      <c r="A279" s="6" t="s">
        <v>7</v>
      </c>
      <c r="B279" s="6" t="str">
        <f>VLOOKUP(A279,Fleet[],2,FALSE)</f>
        <v>Intel</v>
      </c>
      <c r="C279" s="160">
        <v>45723</v>
      </c>
      <c r="D279" s="346">
        <f>YEAR(DATE(YEAR(Runhours_Table[[#This Row],[Date]]-WEEKDAY(Runhours_Table[[#This Row],[Date]]-1)+4),1,1)-MOD((DATE(YEAR(Runhours_Table[[#This Row],[Date]]-WEEKDAY(Runhours_Table[[#This Row],[Date]]-1)+4),1,1)-2),7)+(7*IF(MOD((DATE(YEAR(Runhours_Table[[#This Row],[Date]]-WEEKDAY(Runhours_Table[[#This Row],[Date]]-1)+4),1,1)-2),7)&gt;3,1,0))+7)</f>
        <v>2025</v>
      </c>
      <c r="E279" s="164">
        <f>_xlfn.ISOWEEKNUM(Runhours_Table[[#This Row],[Date]])</f>
        <v>10</v>
      </c>
      <c r="F279" s="160" t="str">
        <f>RIGHT(YEAR(Runhours_Table[[#This Row],[Date]]),2)&amp;TEXT(_xlfn.ISOWEEKNUM(Runhours_Table[[#This Row],[Date]]),"00")</f>
        <v>2510</v>
      </c>
      <c r="G279" s="38">
        <v>17.523333000000001</v>
      </c>
      <c r="H279" s="38">
        <v>22.450000000000003</v>
      </c>
      <c r="I279" s="38">
        <f ca="1">_xlfn.ISOWEEKNUM(Runhours_Table[[#This Row],[Date]])+52*(Runhours_Table[[#This Row],[Year]]-YEAR(DATE(YEAR(TODAY()-WEEKDAY(TODAY()-1)+4),1,1)-MOD((DATE(YEAR(TODAY()-WEEKDAY(TODAY()-1)+4),1,1)-2),7)+(7*IF(MOD((DATE(YEAR(TODAY()-WEEKDAY(TODAY()-1)+4),1,1)-2),7)&gt;3,1,0))+7) )-_xlfn.ISOWEEKNUM(NOW())</f>
        <v>-27</v>
      </c>
      <c r="J279" s="345"/>
    </row>
    <row r="280" spans="1:10">
      <c r="A280" s="6" t="s">
        <v>4</v>
      </c>
      <c r="B280" s="6" t="str">
        <f>VLOOKUP(A280,Fleet[],2,FALSE)</f>
        <v>Intel</v>
      </c>
      <c r="C280" s="160">
        <v>45724</v>
      </c>
      <c r="D280" s="346">
        <f>YEAR(DATE(YEAR(Runhours_Table[[#This Row],[Date]]-WEEKDAY(Runhours_Table[[#This Row],[Date]]-1)+4),1,1)-MOD((DATE(YEAR(Runhours_Table[[#This Row],[Date]]-WEEKDAY(Runhours_Table[[#This Row],[Date]]-1)+4),1,1)-2),7)+(7*IF(MOD((DATE(YEAR(Runhours_Table[[#This Row],[Date]]-WEEKDAY(Runhours_Table[[#This Row],[Date]]-1)+4),1,1)-2),7)&gt;3,1,0))+7)</f>
        <v>2025</v>
      </c>
      <c r="E280" s="164">
        <f>_xlfn.ISOWEEKNUM(Runhours_Table[[#This Row],[Date]])</f>
        <v>10</v>
      </c>
      <c r="F280" s="160" t="str">
        <f>RIGHT(YEAR(Runhours_Table[[#This Row],[Date]]),2)&amp;TEXT(_xlfn.ISOWEEKNUM(Runhours_Table[[#This Row],[Date]]),"00")</f>
        <v>2510</v>
      </c>
      <c r="G280" s="38">
        <v>6.8166669999999998</v>
      </c>
      <c r="H280" s="38">
        <v>16.899999999999999</v>
      </c>
      <c r="I280" s="38">
        <f ca="1">_xlfn.ISOWEEKNUM(Runhours_Table[[#This Row],[Date]])+52*(Runhours_Table[[#This Row],[Year]]-YEAR(DATE(YEAR(TODAY()-WEEKDAY(TODAY()-1)+4),1,1)-MOD((DATE(YEAR(TODAY()-WEEKDAY(TODAY()-1)+4),1,1)-2),7)+(7*IF(MOD((DATE(YEAR(TODAY()-WEEKDAY(TODAY()-1)+4),1,1)-2),7)&gt;3,1,0))+7) )-_xlfn.ISOWEEKNUM(NOW())</f>
        <v>-27</v>
      </c>
      <c r="J280" s="345"/>
    </row>
    <row r="281" spans="1:10">
      <c r="A281" s="6" t="s">
        <v>7</v>
      </c>
      <c r="B281" s="6" t="str">
        <f>VLOOKUP(A281,Fleet[],2,FALSE)</f>
        <v>Intel</v>
      </c>
      <c r="C281" s="160">
        <v>45724</v>
      </c>
      <c r="D281" s="346">
        <f>YEAR(DATE(YEAR(Runhours_Table[[#This Row],[Date]]-WEEKDAY(Runhours_Table[[#This Row],[Date]]-1)+4),1,1)-MOD((DATE(YEAR(Runhours_Table[[#This Row],[Date]]-WEEKDAY(Runhours_Table[[#This Row],[Date]]-1)+4),1,1)-2),7)+(7*IF(MOD((DATE(YEAR(Runhours_Table[[#This Row],[Date]]-WEEKDAY(Runhours_Table[[#This Row],[Date]]-1)+4),1,1)-2),7)&gt;3,1,0))+7)</f>
        <v>2025</v>
      </c>
      <c r="E281" s="164">
        <f>_xlfn.ISOWEEKNUM(Runhours_Table[[#This Row],[Date]])</f>
        <v>10</v>
      </c>
      <c r="F281" s="160" t="str">
        <f>RIGHT(YEAR(Runhours_Table[[#This Row],[Date]]),2)&amp;TEXT(_xlfn.ISOWEEKNUM(Runhours_Table[[#This Row],[Date]]),"00")</f>
        <v>2510</v>
      </c>
      <c r="G281" s="38">
        <v>17.153055999999999</v>
      </c>
      <c r="H281" s="38">
        <v>19.316666999999999</v>
      </c>
      <c r="I281" s="38">
        <f ca="1">_xlfn.ISOWEEKNUM(Runhours_Table[[#This Row],[Date]])+52*(Runhours_Table[[#This Row],[Year]]-YEAR(DATE(YEAR(TODAY()-WEEKDAY(TODAY()-1)+4),1,1)-MOD((DATE(YEAR(TODAY()-WEEKDAY(TODAY()-1)+4),1,1)-2),7)+(7*IF(MOD((DATE(YEAR(TODAY()-WEEKDAY(TODAY()-1)+4),1,1)-2),7)&gt;3,1,0))+7) )-_xlfn.ISOWEEKNUM(NOW())</f>
        <v>-27</v>
      </c>
      <c r="J281" s="345"/>
    </row>
    <row r="282" spans="1:10">
      <c r="A282" s="6" t="s">
        <v>4</v>
      </c>
      <c r="B282" s="6" t="str">
        <f>VLOOKUP(A282,Fleet[],2,FALSE)</f>
        <v>Intel</v>
      </c>
      <c r="C282" s="160">
        <v>45725</v>
      </c>
      <c r="D282" s="346">
        <f>YEAR(DATE(YEAR(Runhours_Table[[#This Row],[Date]]-WEEKDAY(Runhours_Table[[#This Row],[Date]]-1)+4),1,1)-MOD((DATE(YEAR(Runhours_Table[[#This Row],[Date]]-WEEKDAY(Runhours_Table[[#This Row],[Date]]-1)+4),1,1)-2),7)+(7*IF(MOD((DATE(YEAR(Runhours_Table[[#This Row],[Date]]-WEEKDAY(Runhours_Table[[#This Row],[Date]]-1)+4),1,1)-2),7)&gt;3,1,0))+7)</f>
        <v>2025</v>
      </c>
      <c r="E282" s="164">
        <f>_xlfn.ISOWEEKNUM(Runhours_Table[[#This Row],[Date]])</f>
        <v>10</v>
      </c>
      <c r="F282" s="160" t="str">
        <f>RIGHT(YEAR(Runhours_Table[[#This Row],[Date]]),2)&amp;TEXT(_xlfn.ISOWEEKNUM(Runhours_Table[[#This Row],[Date]]),"00")</f>
        <v>2510</v>
      </c>
      <c r="G282" s="38">
        <v>7.3324999999999996</v>
      </c>
      <c r="H282" s="38">
        <v>15.05</v>
      </c>
      <c r="I282" s="38">
        <f ca="1">_xlfn.ISOWEEKNUM(Runhours_Table[[#This Row],[Date]])+52*(Runhours_Table[[#This Row],[Year]]-YEAR(DATE(YEAR(TODAY()-WEEKDAY(TODAY()-1)+4),1,1)-MOD((DATE(YEAR(TODAY()-WEEKDAY(TODAY()-1)+4),1,1)-2),7)+(7*IF(MOD((DATE(YEAR(TODAY()-WEEKDAY(TODAY()-1)+4),1,1)-2),7)&gt;3,1,0))+7) )-_xlfn.ISOWEEKNUM(NOW())</f>
        <v>-27</v>
      </c>
      <c r="J282" s="345"/>
    </row>
    <row r="283" spans="1:10">
      <c r="A283" s="6" t="s">
        <v>7</v>
      </c>
      <c r="B283" s="6" t="str">
        <f>VLOOKUP(A283,Fleet[],2,FALSE)</f>
        <v>Intel</v>
      </c>
      <c r="C283" s="160">
        <v>45725</v>
      </c>
      <c r="D283" s="346">
        <f>YEAR(DATE(YEAR(Runhours_Table[[#This Row],[Date]]-WEEKDAY(Runhours_Table[[#This Row],[Date]]-1)+4),1,1)-MOD((DATE(YEAR(Runhours_Table[[#This Row],[Date]]-WEEKDAY(Runhours_Table[[#This Row],[Date]]-1)+4),1,1)-2),7)+(7*IF(MOD((DATE(YEAR(Runhours_Table[[#This Row],[Date]]-WEEKDAY(Runhours_Table[[#This Row],[Date]]-1)+4),1,1)-2),7)&gt;3,1,0))+7)</f>
        <v>2025</v>
      </c>
      <c r="E283" s="164">
        <f>_xlfn.ISOWEEKNUM(Runhours_Table[[#This Row],[Date]])</f>
        <v>10</v>
      </c>
      <c r="F283" s="160" t="str">
        <f>RIGHT(YEAR(Runhours_Table[[#This Row],[Date]]),2)&amp;TEXT(_xlfn.ISOWEEKNUM(Runhours_Table[[#This Row],[Date]]),"00")</f>
        <v>2510</v>
      </c>
      <c r="G283" s="38">
        <v>15.081389</v>
      </c>
      <c r="H283" s="38">
        <v>17.133333</v>
      </c>
      <c r="I283" s="38">
        <f ca="1">_xlfn.ISOWEEKNUM(Runhours_Table[[#This Row],[Date]])+52*(Runhours_Table[[#This Row],[Year]]-YEAR(DATE(YEAR(TODAY()-WEEKDAY(TODAY()-1)+4),1,1)-MOD((DATE(YEAR(TODAY()-WEEKDAY(TODAY()-1)+4),1,1)-2),7)+(7*IF(MOD((DATE(YEAR(TODAY()-WEEKDAY(TODAY()-1)+4),1,1)-2),7)&gt;3,1,0))+7) )-_xlfn.ISOWEEKNUM(NOW())</f>
        <v>-27</v>
      </c>
      <c r="J283" s="345"/>
    </row>
    <row r="284" spans="1:10">
      <c r="A284" s="6" t="s">
        <v>4</v>
      </c>
      <c r="B284" s="6" t="str">
        <f>VLOOKUP(A284,Fleet[],2,FALSE)</f>
        <v>Intel</v>
      </c>
      <c r="C284" s="160">
        <v>45726</v>
      </c>
      <c r="D284" s="346">
        <f>YEAR(DATE(YEAR(Runhours_Table[[#This Row],[Date]]-WEEKDAY(Runhours_Table[[#This Row],[Date]]-1)+4),1,1)-MOD((DATE(YEAR(Runhours_Table[[#This Row],[Date]]-WEEKDAY(Runhours_Table[[#This Row],[Date]]-1)+4),1,1)-2),7)+(7*IF(MOD((DATE(YEAR(Runhours_Table[[#This Row],[Date]]-WEEKDAY(Runhours_Table[[#This Row],[Date]]-1)+4),1,1)-2),7)&gt;3,1,0))+7)</f>
        <v>2025</v>
      </c>
      <c r="E284" s="164">
        <f>_xlfn.ISOWEEKNUM(Runhours_Table[[#This Row],[Date]])</f>
        <v>11</v>
      </c>
      <c r="F284" s="160" t="str">
        <f>RIGHT(YEAR(Runhours_Table[[#This Row],[Date]]),2)&amp;TEXT(_xlfn.ISOWEEKNUM(Runhours_Table[[#This Row],[Date]]),"00")</f>
        <v>2511</v>
      </c>
      <c r="G284" s="38">
        <v>13.650278</v>
      </c>
      <c r="H284" s="38">
        <v>20.9</v>
      </c>
      <c r="I284" s="38">
        <f ca="1">_xlfn.ISOWEEKNUM(Runhours_Table[[#This Row],[Date]])+52*(Runhours_Table[[#This Row],[Year]]-YEAR(DATE(YEAR(TODAY()-WEEKDAY(TODAY()-1)+4),1,1)-MOD((DATE(YEAR(TODAY()-WEEKDAY(TODAY()-1)+4),1,1)-2),7)+(7*IF(MOD((DATE(YEAR(TODAY()-WEEKDAY(TODAY()-1)+4),1,1)-2),7)&gt;3,1,0))+7) )-_xlfn.ISOWEEKNUM(NOW())</f>
        <v>-26</v>
      </c>
      <c r="J284" s="345"/>
    </row>
    <row r="285" spans="1:10">
      <c r="A285" s="6" t="s">
        <v>7</v>
      </c>
      <c r="B285" s="6" t="str">
        <f>VLOOKUP(A285,Fleet[],2,FALSE)</f>
        <v>Intel</v>
      </c>
      <c r="C285" s="160">
        <v>45726</v>
      </c>
      <c r="D285" s="346">
        <f>YEAR(DATE(YEAR(Runhours_Table[[#This Row],[Date]]-WEEKDAY(Runhours_Table[[#This Row],[Date]]-1)+4),1,1)-MOD((DATE(YEAR(Runhours_Table[[#This Row],[Date]]-WEEKDAY(Runhours_Table[[#This Row],[Date]]-1)+4),1,1)-2),7)+(7*IF(MOD((DATE(YEAR(Runhours_Table[[#This Row],[Date]]-WEEKDAY(Runhours_Table[[#This Row],[Date]]-1)+4),1,1)-2),7)&gt;3,1,0))+7)</f>
        <v>2025</v>
      </c>
      <c r="E285" s="164">
        <f>_xlfn.ISOWEEKNUM(Runhours_Table[[#This Row],[Date]])</f>
        <v>11</v>
      </c>
      <c r="F285" s="160" t="str">
        <f>RIGHT(YEAR(Runhours_Table[[#This Row],[Date]]),2)&amp;TEXT(_xlfn.ISOWEEKNUM(Runhours_Table[[#This Row],[Date]]),"00")</f>
        <v>2511</v>
      </c>
      <c r="G285" s="38">
        <v>6.5641670000000003</v>
      </c>
      <c r="H285" s="38">
        <v>9.35</v>
      </c>
      <c r="I285" s="38">
        <f ca="1">_xlfn.ISOWEEKNUM(Runhours_Table[[#This Row],[Date]])+52*(Runhours_Table[[#This Row],[Year]]-YEAR(DATE(YEAR(TODAY()-WEEKDAY(TODAY()-1)+4),1,1)-MOD((DATE(YEAR(TODAY()-WEEKDAY(TODAY()-1)+4),1,1)-2),7)+(7*IF(MOD((DATE(YEAR(TODAY()-WEEKDAY(TODAY()-1)+4),1,1)-2),7)&gt;3,1,0))+7) )-_xlfn.ISOWEEKNUM(NOW())</f>
        <v>-26</v>
      </c>
      <c r="J285" s="345"/>
    </row>
    <row r="286" spans="1:10">
      <c r="A286" s="6" t="s">
        <v>4</v>
      </c>
      <c r="B286" s="6" t="str">
        <f>VLOOKUP(A286,Fleet[],2,FALSE)</f>
        <v>Intel</v>
      </c>
      <c r="C286" s="160">
        <v>45727</v>
      </c>
      <c r="D286" s="346">
        <f>YEAR(DATE(YEAR(Runhours_Table[[#This Row],[Date]]-WEEKDAY(Runhours_Table[[#This Row],[Date]]-1)+4),1,1)-MOD((DATE(YEAR(Runhours_Table[[#This Row],[Date]]-WEEKDAY(Runhours_Table[[#This Row],[Date]]-1)+4),1,1)-2),7)+(7*IF(MOD((DATE(YEAR(Runhours_Table[[#This Row],[Date]]-WEEKDAY(Runhours_Table[[#This Row],[Date]]-1)+4),1,1)-2),7)&gt;3,1,0))+7)</f>
        <v>2025</v>
      </c>
      <c r="E286" s="164">
        <f>_xlfn.ISOWEEKNUM(Runhours_Table[[#This Row],[Date]])</f>
        <v>11</v>
      </c>
      <c r="F286" s="160" t="str">
        <f>RIGHT(YEAR(Runhours_Table[[#This Row],[Date]]),2)&amp;TEXT(_xlfn.ISOWEEKNUM(Runhours_Table[[#This Row],[Date]]),"00")</f>
        <v>2511</v>
      </c>
      <c r="G286" s="38">
        <v>0.86527799999999999</v>
      </c>
      <c r="H286" s="38">
        <v>4.7</v>
      </c>
      <c r="I286" s="38">
        <f ca="1">_xlfn.ISOWEEKNUM(Runhours_Table[[#This Row],[Date]])+52*(Runhours_Table[[#This Row],[Year]]-YEAR(DATE(YEAR(TODAY()-WEEKDAY(TODAY()-1)+4),1,1)-MOD((DATE(YEAR(TODAY()-WEEKDAY(TODAY()-1)+4),1,1)-2),7)+(7*IF(MOD((DATE(YEAR(TODAY()-WEEKDAY(TODAY()-1)+4),1,1)-2),7)&gt;3,1,0))+7) )-_xlfn.ISOWEEKNUM(NOW())</f>
        <v>-26</v>
      </c>
      <c r="J286" s="345"/>
    </row>
    <row r="287" spans="1:10">
      <c r="A287" s="6" t="s">
        <v>7</v>
      </c>
      <c r="B287" s="6" t="str">
        <f>VLOOKUP(A287,Fleet[],2,FALSE)</f>
        <v>Intel</v>
      </c>
      <c r="C287" s="160">
        <v>45727</v>
      </c>
      <c r="D287" s="346">
        <f>YEAR(DATE(YEAR(Runhours_Table[[#This Row],[Date]]-WEEKDAY(Runhours_Table[[#This Row],[Date]]-1)+4),1,1)-MOD((DATE(YEAR(Runhours_Table[[#This Row],[Date]]-WEEKDAY(Runhours_Table[[#This Row],[Date]]-1)+4),1,1)-2),7)+(7*IF(MOD((DATE(YEAR(Runhours_Table[[#This Row],[Date]]-WEEKDAY(Runhours_Table[[#This Row],[Date]]-1)+4),1,1)-2),7)&gt;3,1,0))+7)</f>
        <v>2025</v>
      </c>
      <c r="E287" s="164">
        <f>_xlfn.ISOWEEKNUM(Runhours_Table[[#This Row],[Date]])</f>
        <v>11</v>
      </c>
      <c r="F287" s="160" t="str">
        <f>RIGHT(YEAR(Runhours_Table[[#This Row],[Date]]),2)&amp;TEXT(_xlfn.ISOWEEKNUM(Runhours_Table[[#This Row],[Date]]),"00")</f>
        <v>2511</v>
      </c>
      <c r="G287" s="38">
        <v>13.134444</v>
      </c>
      <c r="H287" s="38">
        <v>16.433333000000001</v>
      </c>
      <c r="I287" s="38">
        <f ca="1">_xlfn.ISOWEEKNUM(Runhours_Table[[#This Row],[Date]])+52*(Runhours_Table[[#This Row],[Year]]-YEAR(DATE(YEAR(TODAY()-WEEKDAY(TODAY()-1)+4),1,1)-MOD((DATE(YEAR(TODAY()-WEEKDAY(TODAY()-1)+4),1,1)-2),7)+(7*IF(MOD((DATE(YEAR(TODAY()-WEEKDAY(TODAY()-1)+4),1,1)-2),7)&gt;3,1,0))+7) )-_xlfn.ISOWEEKNUM(NOW())</f>
        <v>-26</v>
      </c>
      <c r="J287" s="345"/>
    </row>
    <row r="288" spans="1:10">
      <c r="A288" s="6" t="s">
        <v>4</v>
      </c>
      <c r="B288" s="6" t="str">
        <f>VLOOKUP(A288,Fleet[],2,FALSE)</f>
        <v>Intel</v>
      </c>
      <c r="C288" s="160">
        <v>45728</v>
      </c>
      <c r="D288" s="346">
        <f>YEAR(DATE(YEAR(Runhours_Table[[#This Row],[Date]]-WEEKDAY(Runhours_Table[[#This Row],[Date]]-1)+4),1,1)-MOD((DATE(YEAR(Runhours_Table[[#This Row],[Date]]-WEEKDAY(Runhours_Table[[#This Row],[Date]]-1)+4),1,1)-2),7)+(7*IF(MOD((DATE(YEAR(Runhours_Table[[#This Row],[Date]]-WEEKDAY(Runhours_Table[[#This Row],[Date]]-1)+4),1,1)-2),7)&gt;3,1,0))+7)</f>
        <v>2025</v>
      </c>
      <c r="E288" s="164">
        <f>_xlfn.ISOWEEKNUM(Runhours_Table[[#This Row],[Date]])</f>
        <v>11</v>
      </c>
      <c r="F288" s="160" t="str">
        <f>RIGHT(YEAR(Runhours_Table[[#This Row],[Date]]),2)&amp;TEXT(_xlfn.ISOWEEKNUM(Runhours_Table[[#This Row],[Date]]),"00")</f>
        <v>2511</v>
      </c>
      <c r="G288" s="38"/>
      <c r="H288" s="38">
        <v>0</v>
      </c>
      <c r="I288" s="38">
        <f ca="1">_xlfn.ISOWEEKNUM(Runhours_Table[[#This Row],[Date]])+52*(Runhours_Table[[#This Row],[Year]]-YEAR(DATE(YEAR(TODAY()-WEEKDAY(TODAY()-1)+4),1,1)-MOD((DATE(YEAR(TODAY()-WEEKDAY(TODAY()-1)+4),1,1)-2),7)+(7*IF(MOD((DATE(YEAR(TODAY()-WEEKDAY(TODAY()-1)+4),1,1)-2),7)&gt;3,1,0))+7) )-_xlfn.ISOWEEKNUM(NOW())</f>
        <v>-26</v>
      </c>
      <c r="J288" s="345"/>
    </row>
    <row r="289" spans="1:10">
      <c r="A289" s="6" t="s">
        <v>7</v>
      </c>
      <c r="B289" s="6" t="str">
        <f>VLOOKUP(A289,Fleet[],2,FALSE)</f>
        <v>Intel</v>
      </c>
      <c r="C289" s="160">
        <v>45728</v>
      </c>
      <c r="D289" s="346">
        <f>YEAR(DATE(YEAR(Runhours_Table[[#This Row],[Date]]-WEEKDAY(Runhours_Table[[#This Row],[Date]]-1)+4),1,1)-MOD((DATE(YEAR(Runhours_Table[[#This Row],[Date]]-WEEKDAY(Runhours_Table[[#This Row],[Date]]-1)+4),1,1)-2),7)+(7*IF(MOD((DATE(YEAR(Runhours_Table[[#This Row],[Date]]-WEEKDAY(Runhours_Table[[#This Row],[Date]]-1)+4),1,1)-2),7)&gt;3,1,0))+7)</f>
        <v>2025</v>
      </c>
      <c r="E289" s="164">
        <f>_xlfn.ISOWEEKNUM(Runhours_Table[[#This Row],[Date]])</f>
        <v>11</v>
      </c>
      <c r="F289" s="160" t="str">
        <f>RIGHT(YEAR(Runhours_Table[[#This Row],[Date]]),2)&amp;TEXT(_xlfn.ISOWEEKNUM(Runhours_Table[[#This Row],[Date]]),"00")</f>
        <v>2511</v>
      </c>
      <c r="G289" s="38">
        <v>13.025833</v>
      </c>
      <c r="H289" s="38">
        <v>19.350000000000001</v>
      </c>
      <c r="I289" s="38">
        <f ca="1">_xlfn.ISOWEEKNUM(Runhours_Table[[#This Row],[Date]])+52*(Runhours_Table[[#This Row],[Year]]-YEAR(DATE(YEAR(TODAY()-WEEKDAY(TODAY()-1)+4),1,1)-MOD((DATE(YEAR(TODAY()-WEEKDAY(TODAY()-1)+4),1,1)-2),7)+(7*IF(MOD((DATE(YEAR(TODAY()-WEEKDAY(TODAY()-1)+4),1,1)-2),7)&gt;3,1,0))+7) )-_xlfn.ISOWEEKNUM(NOW())</f>
        <v>-26</v>
      </c>
      <c r="J289" s="345"/>
    </row>
    <row r="290" spans="1:10">
      <c r="A290" s="6" t="s">
        <v>4</v>
      </c>
      <c r="B290" s="6" t="str">
        <f>VLOOKUP(A290,Fleet[],2,FALSE)</f>
        <v>Intel</v>
      </c>
      <c r="C290" s="160">
        <v>45729</v>
      </c>
      <c r="D290" s="346">
        <f>YEAR(DATE(YEAR(Runhours_Table[[#This Row],[Date]]-WEEKDAY(Runhours_Table[[#This Row],[Date]]-1)+4),1,1)-MOD((DATE(YEAR(Runhours_Table[[#This Row],[Date]]-WEEKDAY(Runhours_Table[[#This Row],[Date]]-1)+4),1,1)-2),7)+(7*IF(MOD((DATE(YEAR(Runhours_Table[[#This Row],[Date]]-WEEKDAY(Runhours_Table[[#This Row],[Date]]-1)+4),1,1)-2),7)&gt;3,1,0))+7)</f>
        <v>2025</v>
      </c>
      <c r="E290" s="164">
        <f>_xlfn.ISOWEEKNUM(Runhours_Table[[#This Row],[Date]])</f>
        <v>11</v>
      </c>
      <c r="F290" s="160" t="str">
        <f>RIGHT(YEAR(Runhours_Table[[#This Row],[Date]]),2)&amp;TEXT(_xlfn.ISOWEEKNUM(Runhours_Table[[#This Row],[Date]]),"00")</f>
        <v>2511</v>
      </c>
      <c r="G290" s="38"/>
      <c r="H290" s="38">
        <v>0</v>
      </c>
      <c r="I290" s="38">
        <f ca="1">_xlfn.ISOWEEKNUM(Runhours_Table[[#This Row],[Date]])+52*(Runhours_Table[[#This Row],[Year]]-YEAR(DATE(YEAR(TODAY()-WEEKDAY(TODAY()-1)+4),1,1)-MOD((DATE(YEAR(TODAY()-WEEKDAY(TODAY()-1)+4),1,1)-2),7)+(7*IF(MOD((DATE(YEAR(TODAY()-WEEKDAY(TODAY()-1)+4),1,1)-2),7)&gt;3,1,0))+7) )-_xlfn.ISOWEEKNUM(NOW())</f>
        <v>-26</v>
      </c>
      <c r="J290" s="345"/>
    </row>
    <row r="291" spans="1:10">
      <c r="A291" s="6" t="s">
        <v>7</v>
      </c>
      <c r="B291" s="6" t="str">
        <f>VLOOKUP(A291,Fleet[],2,FALSE)</f>
        <v>Intel</v>
      </c>
      <c r="C291" s="160">
        <v>45729</v>
      </c>
      <c r="D291" s="346">
        <f>YEAR(DATE(YEAR(Runhours_Table[[#This Row],[Date]]-WEEKDAY(Runhours_Table[[#This Row],[Date]]-1)+4),1,1)-MOD((DATE(YEAR(Runhours_Table[[#This Row],[Date]]-WEEKDAY(Runhours_Table[[#This Row],[Date]]-1)+4),1,1)-2),7)+(7*IF(MOD((DATE(YEAR(Runhours_Table[[#This Row],[Date]]-WEEKDAY(Runhours_Table[[#This Row],[Date]]-1)+4),1,1)-2),7)&gt;3,1,0))+7)</f>
        <v>2025</v>
      </c>
      <c r="E291" s="164">
        <f>_xlfn.ISOWEEKNUM(Runhours_Table[[#This Row],[Date]])</f>
        <v>11</v>
      </c>
      <c r="F291" s="160" t="str">
        <f>RIGHT(YEAR(Runhours_Table[[#This Row],[Date]]),2)&amp;TEXT(_xlfn.ISOWEEKNUM(Runhours_Table[[#This Row],[Date]]),"00")</f>
        <v>2511</v>
      </c>
      <c r="G291" s="38">
        <v>15.542222000000001</v>
      </c>
      <c r="H291" s="38">
        <v>21.766666000000001</v>
      </c>
      <c r="I291" s="38">
        <f ca="1">_xlfn.ISOWEEKNUM(Runhours_Table[[#This Row],[Date]])+52*(Runhours_Table[[#This Row],[Year]]-YEAR(DATE(YEAR(TODAY()-WEEKDAY(TODAY()-1)+4),1,1)-MOD((DATE(YEAR(TODAY()-WEEKDAY(TODAY()-1)+4),1,1)-2),7)+(7*IF(MOD((DATE(YEAR(TODAY()-WEEKDAY(TODAY()-1)+4),1,1)-2),7)&gt;3,1,0))+7) )-_xlfn.ISOWEEKNUM(NOW())</f>
        <v>-26</v>
      </c>
      <c r="J291" s="345"/>
    </row>
    <row r="292" spans="1:10">
      <c r="A292" s="6" t="s">
        <v>4</v>
      </c>
      <c r="B292" s="6" t="str">
        <f>VLOOKUP(A292,Fleet[],2,FALSE)</f>
        <v>Intel</v>
      </c>
      <c r="C292" s="160">
        <v>45730</v>
      </c>
      <c r="D292" s="346">
        <f>YEAR(DATE(YEAR(Runhours_Table[[#This Row],[Date]]-WEEKDAY(Runhours_Table[[#This Row],[Date]]-1)+4),1,1)-MOD((DATE(YEAR(Runhours_Table[[#This Row],[Date]]-WEEKDAY(Runhours_Table[[#This Row],[Date]]-1)+4),1,1)-2),7)+(7*IF(MOD((DATE(YEAR(Runhours_Table[[#This Row],[Date]]-WEEKDAY(Runhours_Table[[#This Row],[Date]]-1)+4),1,1)-2),7)&gt;3,1,0))+7)</f>
        <v>2025</v>
      </c>
      <c r="E292" s="164">
        <f>_xlfn.ISOWEEKNUM(Runhours_Table[[#This Row],[Date]])</f>
        <v>11</v>
      </c>
      <c r="F292" s="160" t="str">
        <f>RIGHT(YEAR(Runhours_Table[[#This Row],[Date]]),2)&amp;TEXT(_xlfn.ISOWEEKNUM(Runhours_Table[[#This Row],[Date]]),"00")</f>
        <v>2511</v>
      </c>
      <c r="G292" s="38">
        <v>3.1219440000000001</v>
      </c>
      <c r="H292" s="38">
        <v>18.633333</v>
      </c>
      <c r="I292" s="38">
        <f ca="1">_xlfn.ISOWEEKNUM(Runhours_Table[[#This Row],[Date]])+52*(Runhours_Table[[#This Row],[Year]]-YEAR(DATE(YEAR(TODAY()-WEEKDAY(TODAY()-1)+4),1,1)-MOD((DATE(YEAR(TODAY()-WEEKDAY(TODAY()-1)+4),1,1)-2),7)+(7*IF(MOD((DATE(YEAR(TODAY()-WEEKDAY(TODAY()-1)+4),1,1)-2),7)&gt;3,1,0))+7) )-_xlfn.ISOWEEKNUM(NOW())</f>
        <v>-26</v>
      </c>
      <c r="J292" s="345"/>
    </row>
    <row r="293" spans="1:10">
      <c r="A293" s="6" t="s">
        <v>7</v>
      </c>
      <c r="B293" s="6" t="str">
        <f>VLOOKUP(A293,Fleet[],2,FALSE)</f>
        <v>Intel</v>
      </c>
      <c r="C293" s="160">
        <v>45730</v>
      </c>
      <c r="D293" s="346">
        <f>YEAR(DATE(YEAR(Runhours_Table[[#This Row],[Date]]-WEEKDAY(Runhours_Table[[#This Row],[Date]]-1)+4),1,1)-MOD((DATE(YEAR(Runhours_Table[[#This Row],[Date]]-WEEKDAY(Runhours_Table[[#This Row],[Date]]-1)+4),1,1)-2),7)+(7*IF(MOD((DATE(YEAR(Runhours_Table[[#This Row],[Date]]-WEEKDAY(Runhours_Table[[#This Row],[Date]]-1)+4),1,1)-2),7)&gt;3,1,0))+7)</f>
        <v>2025</v>
      </c>
      <c r="E293" s="164">
        <f>_xlfn.ISOWEEKNUM(Runhours_Table[[#This Row],[Date]])</f>
        <v>11</v>
      </c>
      <c r="F293" s="160" t="str">
        <f>RIGHT(YEAR(Runhours_Table[[#This Row],[Date]]),2)&amp;TEXT(_xlfn.ISOWEEKNUM(Runhours_Table[[#This Row],[Date]]),"00")</f>
        <v>2511</v>
      </c>
      <c r="G293" s="38">
        <v>4.963889</v>
      </c>
      <c r="H293" s="38">
        <v>12.933333000000001</v>
      </c>
      <c r="I293" s="38">
        <f ca="1">_xlfn.ISOWEEKNUM(Runhours_Table[[#This Row],[Date]])+52*(Runhours_Table[[#This Row],[Year]]-YEAR(DATE(YEAR(TODAY()-WEEKDAY(TODAY()-1)+4),1,1)-MOD((DATE(YEAR(TODAY()-WEEKDAY(TODAY()-1)+4),1,1)-2),7)+(7*IF(MOD((DATE(YEAR(TODAY()-WEEKDAY(TODAY()-1)+4),1,1)-2),7)&gt;3,1,0))+7) )-_xlfn.ISOWEEKNUM(NOW())</f>
        <v>-26</v>
      </c>
      <c r="J293" s="345"/>
    </row>
    <row r="294" spans="1:10">
      <c r="A294" s="6" t="s">
        <v>4</v>
      </c>
      <c r="B294" s="6" t="str">
        <f>VLOOKUP(A294,Fleet[],2,FALSE)</f>
        <v>Intel</v>
      </c>
      <c r="C294" s="160">
        <v>45731</v>
      </c>
      <c r="D294" s="346">
        <f>YEAR(DATE(YEAR(Runhours_Table[[#This Row],[Date]]-WEEKDAY(Runhours_Table[[#This Row],[Date]]-1)+4),1,1)-MOD((DATE(YEAR(Runhours_Table[[#This Row],[Date]]-WEEKDAY(Runhours_Table[[#This Row],[Date]]-1)+4),1,1)-2),7)+(7*IF(MOD((DATE(YEAR(Runhours_Table[[#This Row],[Date]]-WEEKDAY(Runhours_Table[[#This Row],[Date]]-1)+4),1,1)-2),7)&gt;3,1,0))+7)</f>
        <v>2025</v>
      </c>
      <c r="E294" s="164">
        <f>_xlfn.ISOWEEKNUM(Runhours_Table[[#This Row],[Date]])</f>
        <v>11</v>
      </c>
      <c r="F294" s="160" t="str">
        <f>RIGHT(YEAR(Runhours_Table[[#This Row],[Date]]),2)&amp;TEXT(_xlfn.ISOWEEKNUM(Runhours_Table[[#This Row],[Date]]),"00")</f>
        <v>2511</v>
      </c>
      <c r="G294" s="38">
        <v>14.345556</v>
      </c>
      <c r="H294" s="38">
        <v>22.316666999999999</v>
      </c>
      <c r="I294" s="38">
        <f ca="1">_xlfn.ISOWEEKNUM(Runhours_Table[[#This Row],[Date]])+52*(Runhours_Table[[#This Row],[Year]]-YEAR(DATE(YEAR(TODAY()-WEEKDAY(TODAY()-1)+4),1,1)-MOD((DATE(YEAR(TODAY()-WEEKDAY(TODAY()-1)+4),1,1)-2),7)+(7*IF(MOD((DATE(YEAR(TODAY()-WEEKDAY(TODAY()-1)+4),1,1)-2),7)&gt;3,1,0))+7) )-_xlfn.ISOWEEKNUM(NOW())</f>
        <v>-26</v>
      </c>
      <c r="J294" s="345"/>
    </row>
    <row r="295" spans="1:10">
      <c r="A295" s="6" t="s">
        <v>7</v>
      </c>
      <c r="B295" s="6" t="str">
        <f>VLOOKUP(A295,Fleet[],2,FALSE)</f>
        <v>Intel</v>
      </c>
      <c r="C295" s="160">
        <v>45731</v>
      </c>
      <c r="D295" s="346">
        <f>YEAR(DATE(YEAR(Runhours_Table[[#This Row],[Date]]-WEEKDAY(Runhours_Table[[#This Row],[Date]]-1)+4),1,1)-MOD((DATE(YEAR(Runhours_Table[[#This Row],[Date]]-WEEKDAY(Runhours_Table[[#This Row],[Date]]-1)+4),1,1)-2),7)+(7*IF(MOD((DATE(YEAR(Runhours_Table[[#This Row],[Date]]-WEEKDAY(Runhours_Table[[#This Row],[Date]]-1)+4),1,1)-2),7)&gt;3,1,0))+7)</f>
        <v>2025</v>
      </c>
      <c r="E295" s="164">
        <f>_xlfn.ISOWEEKNUM(Runhours_Table[[#This Row],[Date]])</f>
        <v>11</v>
      </c>
      <c r="F295" s="160" t="str">
        <f>RIGHT(YEAR(Runhours_Table[[#This Row],[Date]]),2)&amp;TEXT(_xlfn.ISOWEEKNUM(Runhours_Table[[#This Row],[Date]]),"00")</f>
        <v>2511</v>
      </c>
      <c r="G295" s="38">
        <v>5.7613890000000003</v>
      </c>
      <c r="H295" s="38">
        <v>13.55</v>
      </c>
      <c r="I295" s="38">
        <f ca="1">_xlfn.ISOWEEKNUM(Runhours_Table[[#This Row],[Date]])+52*(Runhours_Table[[#This Row],[Year]]-YEAR(DATE(YEAR(TODAY()-WEEKDAY(TODAY()-1)+4),1,1)-MOD((DATE(YEAR(TODAY()-WEEKDAY(TODAY()-1)+4),1,1)-2),7)+(7*IF(MOD((DATE(YEAR(TODAY()-WEEKDAY(TODAY()-1)+4),1,1)-2),7)&gt;3,1,0))+7) )-_xlfn.ISOWEEKNUM(NOW())</f>
        <v>-26</v>
      </c>
      <c r="J295" s="345"/>
    </row>
    <row r="296" spans="1:10">
      <c r="A296" s="6" t="s">
        <v>4</v>
      </c>
      <c r="B296" s="6" t="str">
        <f>VLOOKUP(A296,Fleet[],2,FALSE)</f>
        <v>Intel</v>
      </c>
      <c r="C296" s="160">
        <v>45732</v>
      </c>
      <c r="D296" s="346">
        <f>YEAR(DATE(YEAR(Runhours_Table[[#This Row],[Date]]-WEEKDAY(Runhours_Table[[#This Row],[Date]]-1)+4),1,1)-MOD((DATE(YEAR(Runhours_Table[[#This Row],[Date]]-WEEKDAY(Runhours_Table[[#This Row],[Date]]-1)+4),1,1)-2),7)+(7*IF(MOD((DATE(YEAR(Runhours_Table[[#This Row],[Date]]-WEEKDAY(Runhours_Table[[#This Row],[Date]]-1)+4),1,1)-2),7)&gt;3,1,0))+7)</f>
        <v>2025</v>
      </c>
      <c r="E296" s="164">
        <f>_xlfn.ISOWEEKNUM(Runhours_Table[[#This Row],[Date]])</f>
        <v>11</v>
      </c>
      <c r="F296" s="160" t="str">
        <f>RIGHT(YEAR(Runhours_Table[[#This Row],[Date]]),2)&amp;TEXT(_xlfn.ISOWEEKNUM(Runhours_Table[[#This Row],[Date]]),"00")</f>
        <v>2511</v>
      </c>
      <c r="G296" s="38">
        <v>10.737221999999999</v>
      </c>
      <c r="H296" s="38">
        <v>15.983332999999998</v>
      </c>
      <c r="I296" s="38">
        <f ca="1">_xlfn.ISOWEEKNUM(Runhours_Table[[#This Row],[Date]])+52*(Runhours_Table[[#This Row],[Year]]-YEAR(DATE(YEAR(TODAY()-WEEKDAY(TODAY()-1)+4),1,1)-MOD((DATE(YEAR(TODAY()-WEEKDAY(TODAY()-1)+4),1,1)-2),7)+(7*IF(MOD((DATE(YEAR(TODAY()-WEEKDAY(TODAY()-1)+4),1,1)-2),7)&gt;3,1,0))+7) )-_xlfn.ISOWEEKNUM(NOW())</f>
        <v>-26</v>
      </c>
      <c r="J296" s="345"/>
    </row>
    <row r="297" spans="1:10">
      <c r="A297" s="6" t="s">
        <v>7</v>
      </c>
      <c r="B297" s="6" t="str">
        <f>VLOOKUP(A297,Fleet[],2,FALSE)</f>
        <v>Intel</v>
      </c>
      <c r="C297" s="160">
        <v>45732</v>
      </c>
      <c r="D297" s="346">
        <f>YEAR(DATE(YEAR(Runhours_Table[[#This Row],[Date]]-WEEKDAY(Runhours_Table[[#This Row],[Date]]-1)+4),1,1)-MOD((DATE(YEAR(Runhours_Table[[#This Row],[Date]]-WEEKDAY(Runhours_Table[[#This Row],[Date]]-1)+4),1,1)-2),7)+(7*IF(MOD((DATE(YEAR(Runhours_Table[[#This Row],[Date]]-WEEKDAY(Runhours_Table[[#This Row],[Date]]-1)+4),1,1)-2),7)&gt;3,1,0))+7)</f>
        <v>2025</v>
      </c>
      <c r="E297" s="164">
        <f>_xlfn.ISOWEEKNUM(Runhours_Table[[#This Row],[Date]])</f>
        <v>11</v>
      </c>
      <c r="F297" s="160" t="str">
        <f>RIGHT(YEAR(Runhours_Table[[#This Row],[Date]]),2)&amp;TEXT(_xlfn.ISOWEEKNUM(Runhours_Table[[#This Row],[Date]]),"00")</f>
        <v>2511</v>
      </c>
      <c r="G297" s="38">
        <v>5.8191670000000002</v>
      </c>
      <c r="H297" s="38">
        <v>10.566666999999999</v>
      </c>
      <c r="I297" s="38">
        <f ca="1">_xlfn.ISOWEEKNUM(Runhours_Table[[#This Row],[Date]])+52*(Runhours_Table[[#This Row],[Year]]-YEAR(DATE(YEAR(TODAY()-WEEKDAY(TODAY()-1)+4),1,1)-MOD((DATE(YEAR(TODAY()-WEEKDAY(TODAY()-1)+4),1,1)-2),7)+(7*IF(MOD((DATE(YEAR(TODAY()-WEEKDAY(TODAY()-1)+4),1,1)-2),7)&gt;3,1,0))+7) )-_xlfn.ISOWEEKNUM(NOW())</f>
        <v>-26</v>
      </c>
      <c r="J297" s="345"/>
    </row>
    <row r="298" spans="1:10">
      <c r="A298" s="6" t="s">
        <v>4</v>
      </c>
      <c r="B298" s="6" t="str">
        <f>VLOOKUP(A298,Fleet[],2,FALSE)</f>
        <v>Intel</v>
      </c>
      <c r="C298" s="160">
        <v>45733</v>
      </c>
      <c r="D298" s="346">
        <f>YEAR(DATE(YEAR(Runhours_Table[[#This Row],[Date]]-WEEKDAY(Runhours_Table[[#This Row],[Date]]-1)+4),1,1)-MOD((DATE(YEAR(Runhours_Table[[#This Row],[Date]]-WEEKDAY(Runhours_Table[[#This Row],[Date]]-1)+4),1,1)-2),7)+(7*IF(MOD((DATE(YEAR(Runhours_Table[[#This Row],[Date]]-WEEKDAY(Runhours_Table[[#This Row],[Date]]-1)+4),1,1)-2),7)&gt;3,1,0))+7)</f>
        <v>2025</v>
      </c>
      <c r="E298" s="164">
        <f>_xlfn.ISOWEEKNUM(Runhours_Table[[#This Row],[Date]])</f>
        <v>12</v>
      </c>
      <c r="F298" s="160" t="str">
        <f>RIGHT(YEAR(Runhours_Table[[#This Row],[Date]]),2)&amp;TEXT(_xlfn.ISOWEEKNUM(Runhours_Table[[#This Row],[Date]]),"00")</f>
        <v>2512</v>
      </c>
      <c r="G298" s="38">
        <v>17.706389000000001</v>
      </c>
      <c r="H298" s="38">
        <v>20.383333</v>
      </c>
      <c r="I298" s="38">
        <f ca="1">_xlfn.ISOWEEKNUM(Runhours_Table[[#This Row],[Date]])+52*(Runhours_Table[[#This Row],[Year]]-YEAR(DATE(YEAR(TODAY()-WEEKDAY(TODAY()-1)+4),1,1)-MOD((DATE(YEAR(TODAY()-WEEKDAY(TODAY()-1)+4),1,1)-2),7)+(7*IF(MOD((DATE(YEAR(TODAY()-WEEKDAY(TODAY()-1)+4),1,1)-2),7)&gt;3,1,0))+7) )-_xlfn.ISOWEEKNUM(NOW())</f>
        <v>-25</v>
      </c>
      <c r="J298" s="345"/>
    </row>
    <row r="299" spans="1:10">
      <c r="A299" s="6" t="s">
        <v>7</v>
      </c>
      <c r="B299" s="6" t="str">
        <f>VLOOKUP(A299,Fleet[],2,FALSE)</f>
        <v>Intel</v>
      </c>
      <c r="C299" s="160">
        <v>45733</v>
      </c>
      <c r="D299" s="346">
        <f>YEAR(DATE(YEAR(Runhours_Table[[#This Row],[Date]]-WEEKDAY(Runhours_Table[[#This Row],[Date]]-1)+4),1,1)-MOD((DATE(YEAR(Runhours_Table[[#This Row],[Date]]-WEEKDAY(Runhours_Table[[#This Row],[Date]]-1)+4),1,1)-2),7)+(7*IF(MOD((DATE(YEAR(Runhours_Table[[#This Row],[Date]]-WEEKDAY(Runhours_Table[[#This Row],[Date]]-1)+4),1,1)-2),7)&gt;3,1,0))+7)</f>
        <v>2025</v>
      </c>
      <c r="E299" s="164">
        <f>_xlfn.ISOWEEKNUM(Runhours_Table[[#This Row],[Date]])</f>
        <v>12</v>
      </c>
      <c r="F299" s="160" t="str">
        <f>RIGHT(YEAR(Runhours_Table[[#This Row],[Date]]),2)&amp;TEXT(_xlfn.ISOWEEKNUM(Runhours_Table[[#This Row],[Date]]),"00")</f>
        <v>2512</v>
      </c>
      <c r="G299" s="38">
        <v>3.9552779999999998</v>
      </c>
      <c r="H299" s="38">
        <v>4.3666669999999996</v>
      </c>
      <c r="I299" s="38">
        <f ca="1">_xlfn.ISOWEEKNUM(Runhours_Table[[#This Row],[Date]])+52*(Runhours_Table[[#This Row],[Year]]-YEAR(DATE(YEAR(TODAY()-WEEKDAY(TODAY()-1)+4),1,1)-MOD((DATE(YEAR(TODAY()-WEEKDAY(TODAY()-1)+4),1,1)-2),7)+(7*IF(MOD((DATE(YEAR(TODAY()-WEEKDAY(TODAY()-1)+4),1,1)-2),7)&gt;3,1,0))+7) )-_xlfn.ISOWEEKNUM(NOW())</f>
        <v>-25</v>
      </c>
      <c r="J299" s="345"/>
    </row>
    <row r="300" spans="1:10">
      <c r="A300" s="6" t="s">
        <v>4</v>
      </c>
      <c r="B300" s="6" t="str">
        <f>VLOOKUP(A300,Fleet[],2,FALSE)</f>
        <v>Intel</v>
      </c>
      <c r="C300" s="160">
        <v>45734</v>
      </c>
      <c r="D300" s="346">
        <f>YEAR(DATE(YEAR(Runhours_Table[[#This Row],[Date]]-WEEKDAY(Runhours_Table[[#This Row],[Date]]-1)+4),1,1)-MOD((DATE(YEAR(Runhours_Table[[#This Row],[Date]]-WEEKDAY(Runhours_Table[[#This Row],[Date]]-1)+4),1,1)-2),7)+(7*IF(MOD((DATE(YEAR(Runhours_Table[[#This Row],[Date]]-WEEKDAY(Runhours_Table[[#This Row],[Date]]-1)+4),1,1)-2),7)&gt;3,1,0))+7)</f>
        <v>2025</v>
      </c>
      <c r="E300" s="164">
        <f>_xlfn.ISOWEEKNUM(Runhours_Table[[#This Row],[Date]])</f>
        <v>12</v>
      </c>
      <c r="F300" s="160" t="str">
        <f>RIGHT(YEAR(Runhours_Table[[#This Row],[Date]]),2)&amp;TEXT(_xlfn.ISOWEEKNUM(Runhours_Table[[#This Row],[Date]]),"00")</f>
        <v>2512</v>
      </c>
      <c r="G300" s="38">
        <v>14.892778</v>
      </c>
      <c r="H300" s="38">
        <v>21.05</v>
      </c>
      <c r="I300" s="38">
        <f ca="1">_xlfn.ISOWEEKNUM(Runhours_Table[[#This Row],[Date]])+52*(Runhours_Table[[#This Row],[Year]]-YEAR(DATE(YEAR(TODAY()-WEEKDAY(TODAY()-1)+4),1,1)-MOD((DATE(YEAR(TODAY()-WEEKDAY(TODAY()-1)+4),1,1)-2),7)+(7*IF(MOD((DATE(YEAR(TODAY()-WEEKDAY(TODAY()-1)+4),1,1)-2),7)&gt;3,1,0))+7) )-_xlfn.ISOWEEKNUM(NOW())</f>
        <v>-25</v>
      </c>
      <c r="J300" s="345"/>
    </row>
    <row r="301" spans="1:10">
      <c r="A301" s="6" t="s">
        <v>7</v>
      </c>
      <c r="B301" s="6" t="str">
        <f>VLOOKUP(A301,Fleet[],2,FALSE)</f>
        <v>Intel</v>
      </c>
      <c r="C301" s="160">
        <v>45734</v>
      </c>
      <c r="D301" s="346">
        <f>YEAR(DATE(YEAR(Runhours_Table[[#This Row],[Date]]-WEEKDAY(Runhours_Table[[#This Row],[Date]]-1)+4),1,1)-MOD((DATE(YEAR(Runhours_Table[[#This Row],[Date]]-WEEKDAY(Runhours_Table[[#This Row],[Date]]-1)+4),1,1)-2),7)+(7*IF(MOD((DATE(YEAR(Runhours_Table[[#This Row],[Date]]-WEEKDAY(Runhours_Table[[#This Row],[Date]]-1)+4),1,1)-2),7)&gt;3,1,0))+7)</f>
        <v>2025</v>
      </c>
      <c r="E301" s="164">
        <f>_xlfn.ISOWEEKNUM(Runhours_Table[[#This Row],[Date]])</f>
        <v>12</v>
      </c>
      <c r="F301" s="160" t="str">
        <f>RIGHT(YEAR(Runhours_Table[[#This Row],[Date]]),2)&amp;TEXT(_xlfn.ISOWEEKNUM(Runhours_Table[[#This Row],[Date]]),"00")</f>
        <v>2512</v>
      </c>
      <c r="G301" s="38"/>
      <c r="H301" s="38">
        <v>0</v>
      </c>
      <c r="I301" s="38">
        <f ca="1">_xlfn.ISOWEEKNUM(Runhours_Table[[#This Row],[Date]])+52*(Runhours_Table[[#This Row],[Year]]-YEAR(DATE(YEAR(TODAY()-WEEKDAY(TODAY()-1)+4),1,1)-MOD((DATE(YEAR(TODAY()-WEEKDAY(TODAY()-1)+4),1,1)-2),7)+(7*IF(MOD((DATE(YEAR(TODAY()-WEEKDAY(TODAY()-1)+4),1,1)-2),7)&gt;3,1,0))+7) )-_xlfn.ISOWEEKNUM(NOW())</f>
        <v>-25</v>
      </c>
      <c r="J301" s="345"/>
    </row>
    <row r="302" spans="1:10">
      <c r="A302" s="6" t="s">
        <v>4</v>
      </c>
      <c r="B302" s="6" t="str">
        <f>VLOOKUP(A302,Fleet[],2,FALSE)</f>
        <v>Intel</v>
      </c>
      <c r="C302" s="160">
        <v>45735</v>
      </c>
      <c r="D302" s="346">
        <f>YEAR(DATE(YEAR(Runhours_Table[[#This Row],[Date]]-WEEKDAY(Runhours_Table[[#This Row],[Date]]-1)+4),1,1)-MOD((DATE(YEAR(Runhours_Table[[#This Row],[Date]]-WEEKDAY(Runhours_Table[[#This Row],[Date]]-1)+4),1,1)-2),7)+(7*IF(MOD((DATE(YEAR(Runhours_Table[[#This Row],[Date]]-WEEKDAY(Runhours_Table[[#This Row],[Date]]-1)+4),1,1)-2),7)&gt;3,1,0))+7)</f>
        <v>2025</v>
      </c>
      <c r="E302" s="164">
        <f>_xlfn.ISOWEEKNUM(Runhours_Table[[#This Row],[Date]])</f>
        <v>12</v>
      </c>
      <c r="F302" s="160" t="str">
        <f>RIGHT(YEAR(Runhours_Table[[#This Row],[Date]]),2)&amp;TEXT(_xlfn.ISOWEEKNUM(Runhours_Table[[#This Row],[Date]]),"00")</f>
        <v>2512</v>
      </c>
      <c r="G302" s="38">
        <v>11.125</v>
      </c>
      <c r="H302" s="38">
        <v>21.566667000000002</v>
      </c>
      <c r="I302" s="38">
        <f ca="1">_xlfn.ISOWEEKNUM(Runhours_Table[[#This Row],[Date]])+52*(Runhours_Table[[#This Row],[Year]]-YEAR(DATE(YEAR(TODAY()-WEEKDAY(TODAY()-1)+4),1,1)-MOD((DATE(YEAR(TODAY()-WEEKDAY(TODAY()-1)+4),1,1)-2),7)+(7*IF(MOD((DATE(YEAR(TODAY()-WEEKDAY(TODAY()-1)+4),1,1)-2),7)&gt;3,1,0))+7) )-_xlfn.ISOWEEKNUM(NOW())</f>
        <v>-25</v>
      </c>
      <c r="J302" s="345"/>
    </row>
    <row r="303" spans="1:10">
      <c r="A303" s="6" t="s">
        <v>7</v>
      </c>
      <c r="B303" s="6" t="str">
        <f>VLOOKUP(A303,Fleet[],2,FALSE)</f>
        <v>Intel</v>
      </c>
      <c r="C303" s="160">
        <v>45735</v>
      </c>
      <c r="D303" s="346">
        <f>YEAR(DATE(YEAR(Runhours_Table[[#This Row],[Date]]-WEEKDAY(Runhours_Table[[#This Row],[Date]]-1)+4),1,1)-MOD((DATE(YEAR(Runhours_Table[[#This Row],[Date]]-WEEKDAY(Runhours_Table[[#This Row],[Date]]-1)+4),1,1)-2),7)+(7*IF(MOD((DATE(YEAR(Runhours_Table[[#This Row],[Date]]-WEEKDAY(Runhours_Table[[#This Row],[Date]]-1)+4),1,1)-2),7)&gt;3,1,0))+7)</f>
        <v>2025</v>
      </c>
      <c r="E303" s="164">
        <f>_xlfn.ISOWEEKNUM(Runhours_Table[[#This Row],[Date]])</f>
        <v>12</v>
      </c>
      <c r="F303" s="160" t="str">
        <f>RIGHT(YEAR(Runhours_Table[[#This Row],[Date]]),2)&amp;TEXT(_xlfn.ISOWEEKNUM(Runhours_Table[[#This Row],[Date]]),"00")</f>
        <v>2512</v>
      </c>
      <c r="G303" s="38"/>
      <c r="H303" s="38">
        <v>0</v>
      </c>
      <c r="I303" s="38">
        <f ca="1">_xlfn.ISOWEEKNUM(Runhours_Table[[#This Row],[Date]])+52*(Runhours_Table[[#This Row],[Year]]-YEAR(DATE(YEAR(TODAY()-WEEKDAY(TODAY()-1)+4),1,1)-MOD((DATE(YEAR(TODAY()-WEEKDAY(TODAY()-1)+4),1,1)-2),7)+(7*IF(MOD((DATE(YEAR(TODAY()-WEEKDAY(TODAY()-1)+4),1,1)-2),7)&gt;3,1,0))+7) )-_xlfn.ISOWEEKNUM(NOW())</f>
        <v>-25</v>
      </c>
      <c r="J303" s="345"/>
    </row>
    <row r="304" spans="1:10">
      <c r="A304" s="6" t="s">
        <v>4</v>
      </c>
      <c r="B304" s="6" t="str">
        <f>VLOOKUP(A304,Fleet[],2,FALSE)</f>
        <v>Intel</v>
      </c>
      <c r="C304" s="160">
        <v>45736</v>
      </c>
      <c r="D304" s="346">
        <f>YEAR(DATE(YEAR(Runhours_Table[[#This Row],[Date]]-WEEKDAY(Runhours_Table[[#This Row],[Date]]-1)+4),1,1)-MOD((DATE(YEAR(Runhours_Table[[#This Row],[Date]]-WEEKDAY(Runhours_Table[[#This Row],[Date]]-1)+4),1,1)-2),7)+(7*IF(MOD((DATE(YEAR(Runhours_Table[[#This Row],[Date]]-WEEKDAY(Runhours_Table[[#This Row],[Date]]-1)+4),1,1)-2),7)&gt;3,1,0))+7)</f>
        <v>2025</v>
      </c>
      <c r="E304" s="164">
        <f>_xlfn.ISOWEEKNUM(Runhours_Table[[#This Row],[Date]])</f>
        <v>12</v>
      </c>
      <c r="F304" s="160" t="str">
        <f>RIGHT(YEAR(Runhours_Table[[#This Row],[Date]]),2)&amp;TEXT(_xlfn.ISOWEEKNUM(Runhours_Table[[#This Row],[Date]]),"00")</f>
        <v>2512</v>
      </c>
      <c r="G304" s="38">
        <v>11.408611000000001</v>
      </c>
      <c r="H304" s="38">
        <v>20.700000000000003</v>
      </c>
      <c r="I304" s="38">
        <f ca="1">_xlfn.ISOWEEKNUM(Runhours_Table[[#This Row],[Date]])+52*(Runhours_Table[[#This Row],[Year]]-YEAR(DATE(YEAR(TODAY()-WEEKDAY(TODAY()-1)+4),1,1)-MOD((DATE(YEAR(TODAY()-WEEKDAY(TODAY()-1)+4),1,1)-2),7)+(7*IF(MOD((DATE(YEAR(TODAY()-WEEKDAY(TODAY()-1)+4),1,1)-2),7)&gt;3,1,0))+7) )-_xlfn.ISOWEEKNUM(NOW())</f>
        <v>-25</v>
      </c>
      <c r="J304" s="345"/>
    </row>
    <row r="305" spans="1:10">
      <c r="A305" s="6" t="s">
        <v>7</v>
      </c>
      <c r="B305" s="6" t="str">
        <f>VLOOKUP(A305,Fleet[],2,FALSE)</f>
        <v>Intel</v>
      </c>
      <c r="C305" s="160">
        <v>45736</v>
      </c>
      <c r="D305" s="346">
        <f>YEAR(DATE(YEAR(Runhours_Table[[#This Row],[Date]]-WEEKDAY(Runhours_Table[[#This Row],[Date]]-1)+4),1,1)-MOD((DATE(YEAR(Runhours_Table[[#This Row],[Date]]-WEEKDAY(Runhours_Table[[#This Row],[Date]]-1)+4),1,1)-2),7)+(7*IF(MOD((DATE(YEAR(Runhours_Table[[#This Row],[Date]]-WEEKDAY(Runhours_Table[[#This Row],[Date]]-1)+4),1,1)-2),7)&gt;3,1,0))+7)</f>
        <v>2025</v>
      </c>
      <c r="E305" s="164">
        <f>_xlfn.ISOWEEKNUM(Runhours_Table[[#This Row],[Date]])</f>
        <v>12</v>
      </c>
      <c r="F305" s="160" t="str">
        <f>RIGHT(YEAR(Runhours_Table[[#This Row],[Date]]),2)&amp;TEXT(_xlfn.ISOWEEKNUM(Runhours_Table[[#This Row],[Date]]),"00")</f>
        <v>2512</v>
      </c>
      <c r="G305" s="38"/>
      <c r="H305" s="38">
        <v>0</v>
      </c>
      <c r="I305" s="38">
        <f ca="1">_xlfn.ISOWEEKNUM(Runhours_Table[[#This Row],[Date]])+52*(Runhours_Table[[#This Row],[Year]]-YEAR(DATE(YEAR(TODAY()-WEEKDAY(TODAY()-1)+4),1,1)-MOD((DATE(YEAR(TODAY()-WEEKDAY(TODAY()-1)+4),1,1)-2),7)+(7*IF(MOD((DATE(YEAR(TODAY()-WEEKDAY(TODAY()-1)+4),1,1)-2),7)&gt;3,1,0))+7) )-_xlfn.ISOWEEKNUM(NOW())</f>
        <v>-25</v>
      </c>
      <c r="J305" s="345"/>
    </row>
    <row r="306" spans="1:10">
      <c r="A306" s="6" t="s">
        <v>4</v>
      </c>
      <c r="B306" s="6" t="str">
        <f>VLOOKUP(A306,Fleet[],2,FALSE)</f>
        <v>Intel</v>
      </c>
      <c r="C306" s="160">
        <v>45737</v>
      </c>
      <c r="D306" s="346">
        <f>YEAR(DATE(YEAR(Runhours_Table[[#This Row],[Date]]-WEEKDAY(Runhours_Table[[#This Row],[Date]]-1)+4),1,1)-MOD((DATE(YEAR(Runhours_Table[[#This Row],[Date]]-WEEKDAY(Runhours_Table[[#This Row],[Date]]-1)+4),1,1)-2),7)+(7*IF(MOD((DATE(YEAR(Runhours_Table[[#This Row],[Date]]-WEEKDAY(Runhours_Table[[#This Row],[Date]]-1)+4),1,1)-2),7)&gt;3,1,0))+7)</f>
        <v>2025</v>
      </c>
      <c r="E306" s="164">
        <f>_xlfn.ISOWEEKNUM(Runhours_Table[[#This Row],[Date]])</f>
        <v>12</v>
      </c>
      <c r="F306" s="160" t="str">
        <f>RIGHT(YEAR(Runhours_Table[[#This Row],[Date]]),2)&amp;TEXT(_xlfn.ISOWEEKNUM(Runhours_Table[[#This Row],[Date]]),"00")</f>
        <v>2512</v>
      </c>
      <c r="G306" s="38">
        <v>5.1772220000000004</v>
      </c>
      <c r="H306" s="38">
        <v>15.283333000000001</v>
      </c>
      <c r="I306" s="38">
        <f ca="1">_xlfn.ISOWEEKNUM(Runhours_Table[[#This Row],[Date]])+52*(Runhours_Table[[#This Row],[Year]]-YEAR(DATE(YEAR(TODAY()-WEEKDAY(TODAY()-1)+4),1,1)-MOD((DATE(YEAR(TODAY()-WEEKDAY(TODAY()-1)+4),1,1)-2),7)+(7*IF(MOD((DATE(YEAR(TODAY()-WEEKDAY(TODAY()-1)+4),1,1)-2),7)&gt;3,1,0))+7) )-_xlfn.ISOWEEKNUM(NOW())</f>
        <v>-25</v>
      </c>
      <c r="J306" s="345"/>
    </row>
    <row r="307" spans="1:10">
      <c r="A307" s="6" t="s">
        <v>7</v>
      </c>
      <c r="B307" s="6" t="str">
        <f>VLOOKUP(A307,Fleet[],2,FALSE)</f>
        <v>Intel</v>
      </c>
      <c r="C307" s="160">
        <v>45737</v>
      </c>
      <c r="D307" s="346">
        <f>YEAR(DATE(YEAR(Runhours_Table[[#This Row],[Date]]-WEEKDAY(Runhours_Table[[#This Row],[Date]]-1)+4),1,1)-MOD((DATE(YEAR(Runhours_Table[[#This Row],[Date]]-WEEKDAY(Runhours_Table[[#This Row],[Date]]-1)+4),1,1)-2),7)+(7*IF(MOD((DATE(YEAR(Runhours_Table[[#This Row],[Date]]-WEEKDAY(Runhours_Table[[#This Row],[Date]]-1)+4),1,1)-2),7)&gt;3,1,0))+7)</f>
        <v>2025</v>
      </c>
      <c r="E307" s="164">
        <f>_xlfn.ISOWEEKNUM(Runhours_Table[[#This Row],[Date]])</f>
        <v>12</v>
      </c>
      <c r="F307" s="160" t="str">
        <f>RIGHT(YEAR(Runhours_Table[[#This Row],[Date]]),2)&amp;TEXT(_xlfn.ISOWEEKNUM(Runhours_Table[[#This Row],[Date]]),"00")</f>
        <v>2512</v>
      </c>
      <c r="G307" s="38">
        <v>1.589167</v>
      </c>
      <c r="H307" s="38">
        <v>14.15</v>
      </c>
      <c r="I307" s="38">
        <f ca="1">_xlfn.ISOWEEKNUM(Runhours_Table[[#This Row],[Date]])+52*(Runhours_Table[[#This Row],[Year]]-YEAR(DATE(YEAR(TODAY()-WEEKDAY(TODAY()-1)+4),1,1)-MOD((DATE(YEAR(TODAY()-WEEKDAY(TODAY()-1)+4),1,1)-2),7)+(7*IF(MOD((DATE(YEAR(TODAY()-WEEKDAY(TODAY()-1)+4),1,1)-2),7)&gt;3,1,0))+7) )-_xlfn.ISOWEEKNUM(NOW())</f>
        <v>-25</v>
      </c>
      <c r="J307" s="345"/>
    </row>
    <row r="308" spans="1:10">
      <c r="A308" s="6" t="s">
        <v>4</v>
      </c>
      <c r="B308" s="6" t="str">
        <f>VLOOKUP(A308,Fleet[],2,FALSE)</f>
        <v>Intel</v>
      </c>
      <c r="C308" s="160">
        <v>45738</v>
      </c>
      <c r="D308" s="346">
        <f>YEAR(DATE(YEAR(Runhours_Table[[#This Row],[Date]]-WEEKDAY(Runhours_Table[[#This Row],[Date]]-1)+4),1,1)-MOD((DATE(YEAR(Runhours_Table[[#This Row],[Date]]-WEEKDAY(Runhours_Table[[#This Row],[Date]]-1)+4),1,1)-2),7)+(7*IF(MOD((DATE(YEAR(Runhours_Table[[#This Row],[Date]]-WEEKDAY(Runhours_Table[[#This Row],[Date]]-1)+4),1,1)-2),7)&gt;3,1,0))+7)</f>
        <v>2025</v>
      </c>
      <c r="E308" s="164">
        <f>_xlfn.ISOWEEKNUM(Runhours_Table[[#This Row],[Date]])</f>
        <v>12</v>
      </c>
      <c r="F308" s="160" t="str">
        <f>RIGHT(YEAR(Runhours_Table[[#This Row],[Date]]),2)&amp;TEXT(_xlfn.ISOWEEKNUM(Runhours_Table[[#This Row],[Date]]),"00")</f>
        <v>2512</v>
      </c>
      <c r="G308" s="38">
        <v>9.3077780000000008</v>
      </c>
      <c r="H308" s="38">
        <v>12.983334000000001</v>
      </c>
      <c r="I308" s="38">
        <f ca="1">_xlfn.ISOWEEKNUM(Runhours_Table[[#This Row],[Date]])+52*(Runhours_Table[[#This Row],[Year]]-YEAR(DATE(YEAR(TODAY()-WEEKDAY(TODAY()-1)+4),1,1)-MOD((DATE(YEAR(TODAY()-WEEKDAY(TODAY()-1)+4),1,1)-2),7)+(7*IF(MOD((DATE(YEAR(TODAY()-WEEKDAY(TODAY()-1)+4),1,1)-2),7)&gt;3,1,0))+7) )-_xlfn.ISOWEEKNUM(NOW())</f>
        <v>-25</v>
      </c>
      <c r="J308" s="345"/>
    </row>
    <row r="309" spans="1:10">
      <c r="A309" s="6" t="s">
        <v>7</v>
      </c>
      <c r="B309" s="6" t="str">
        <f>VLOOKUP(A309,Fleet[],2,FALSE)</f>
        <v>Intel</v>
      </c>
      <c r="C309" s="160">
        <v>45738</v>
      </c>
      <c r="D309" s="346">
        <f>YEAR(DATE(YEAR(Runhours_Table[[#This Row],[Date]]-WEEKDAY(Runhours_Table[[#This Row],[Date]]-1)+4),1,1)-MOD((DATE(YEAR(Runhours_Table[[#This Row],[Date]]-WEEKDAY(Runhours_Table[[#This Row],[Date]]-1)+4),1,1)-2),7)+(7*IF(MOD((DATE(YEAR(Runhours_Table[[#This Row],[Date]]-WEEKDAY(Runhours_Table[[#This Row],[Date]]-1)+4),1,1)-2),7)&gt;3,1,0))+7)</f>
        <v>2025</v>
      </c>
      <c r="E309" s="164">
        <f>_xlfn.ISOWEEKNUM(Runhours_Table[[#This Row],[Date]])</f>
        <v>12</v>
      </c>
      <c r="F309" s="160" t="str">
        <f>RIGHT(YEAR(Runhours_Table[[#This Row],[Date]]),2)&amp;TEXT(_xlfn.ISOWEEKNUM(Runhours_Table[[#This Row],[Date]]),"00")</f>
        <v>2512</v>
      </c>
      <c r="G309" s="38">
        <v>13.088056</v>
      </c>
      <c r="H309" s="38">
        <v>20.75</v>
      </c>
      <c r="I309" s="38">
        <f ca="1">_xlfn.ISOWEEKNUM(Runhours_Table[[#This Row],[Date]])+52*(Runhours_Table[[#This Row],[Year]]-YEAR(DATE(YEAR(TODAY()-WEEKDAY(TODAY()-1)+4),1,1)-MOD((DATE(YEAR(TODAY()-WEEKDAY(TODAY()-1)+4),1,1)-2),7)+(7*IF(MOD((DATE(YEAR(TODAY()-WEEKDAY(TODAY()-1)+4),1,1)-2),7)&gt;3,1,0))+7) )-_xlfn.ISOWEEKNUM(NOW())</f>
        <v>-25</v>
      </c>
      <c r="J309" s="345"/>
    </row>
    <row r="310" spans="1:10">
      <c r="A310" s="6" t="s">
        <v>4</v>
      </c>
      <c r="B310" s="6" t="str">
        <f>VLOOKUP(A310,Fleet[],2,FALSE)</f>
        <v>Intel</v>
      </c>
      <c r="C310" s="160">
        <v>45739</v>
      </c>
      <c r="D310" s="346">
        <f>YEAR(DATE(YEAR(Runhours_Table[[#This Row],[Date]]-WEEKDAY(Runhours_Table[[#This Row],[Date]]-1)+4),1,1)-MOD((DATE(YEAR(Runhours_Table[[#This Row],[Date]]-WEEKDAY(Runhours_Table[[#This Row],[Date]]-1)+4),1,1)-2),7)+(7*IF(MOD((DATE(YEAR(Runhours_Table[[#This Row],[Date]]-WEEKDAY(Runhours_Table[[#This Row],[Date]]-1)+4),1,1)-2),7)&gt;3,1,0))+7)</f>
        <v>2025</v>
      </c>
      <c r="E310" s="164">
        <f>_xlfn.ISOWEEKNUM(Runhours_Table[[#This Row],[Date]])</f>
        <v>12</v>
      </c>
      <c r="F310" s="160" t="str">
        <f>RIGHT(YEAR(Runhours_Table[[#This Row],[Date]]),2)&amp;TEXT(_xlfn.ISOWEEKNUM(Runhours_Table[[#This Row],[Date]]),"00")</f>
        <v>2512</v>
      </c>
      <c r="G310" s="38">
        <v>11.133333</v>
      </c>
      <c r="H310" s="38">
        <v>21.716666</v>
      </c>
      <c r="I310" s="38">
        <f ca="1">_xlfn.ISOWEEKNUM(Runhours_Table[[#This Row],[Date]])+52*(Runhours_Table[[#This Row],[Year]]-YEAR(DATE(YEAR(TODAY()-WEEKDAY(TODAY()-1)+4),1,1)-MOD((DATE(YEAR(TODAY()-WEEKDAY(TODAY()-1)+4),1,1)-2),7)+(7*IF(MOD((DATE(YEAR(TODAY()-WEEKDAY(TODAY()-1)+4),1,1)-2),7)&gt;3,1,0))+7) )-_xlfn.ISOWEEKNUM(NOW())</f>
        <v>-25</v>
      </c>
      <c r="J310" s="345"/>
    </row>
    <row r="311" spans="1:10">
      <c r="A311" s="6" t="s">
        <v>7</v>
      </c>
      <c r="B311" s="6" t="str">
        <f>VLOOKUP(A311,Fleet[],2,FALSE)</f>
        <v>Intel</v>
      </c>
      <c r="C311" s="160">
        <v>45739</v>
      </c>
      <c r="D311" s="346">
        <f>YEAR(DATE(YEAR(Runhours_Table[[#This Row],[Date]]-WEEKDAY(Runhours_Table[[#This Row],[Date]]-1)+4),1,1)-MOD((DATE(YEAR(Runhours_Table[[#This Row],[Date]]-WEEKDAY(Runhours_Table[[#This Row],[Date]]-1)+4),1,1)-2),7)+(7*IF(MOD((DATE(YEAR(Runhours_Table[[#This Row],[Date]]-WEEKDAY(Runhours_Table[[#This Row],[Date]]-1)+4),1,1)-2),7)&gt;3,1,0))+7)</f>
        <v>2025</v>
      </c>
      <c r="E311" s="164">
        <f>_xlfn.ISOWEEKNUM(Runhours_Table[[#This Row],[Date]])</f>
        <v>12</v>
      </c>
      <c r="F311" s="160" t="str">
        <f>RIGHT(YEAR(Runhours_Table[[#This Row],[Date]]),2)&amp;TEXT(_xlfn.ISOWEEKNUM(Runhours_Table[[#This Row],[Date]]),"00")</f>
        <v>2512</v>
      </c>
      <c r="G311" s="38">
        <v>8.1408330000000007</v>
      </c>
      <c r="H311" s="38">
        <v>17.616666000000002</v>
      </c>
      <c r="I311" s="38">
        <f ca="1">_xlfn.ISOWEEKNUM(Runhours_Table[[#This Row],[Date]])+52*(Runhours_Table[[#This Row],[Year]]-YEAR(DATE(YEAR(TODAY()-WEEKDAY(TODAY()-1)+4),1,1)-MOD((DATE(YEAR(TODAY()-WEEKDAY(TODAY()-1)+4),1,1)-2),7)+(7*IF(MOD((DATE(YEAR(TODAY()-WEEKDAY(TODAY()-1)+4),1,1)-2),7)&gt;3,1,0))+7) )-_xlfn.ISOWEEKNUM(NOW())</f>
        <v>-25</v>
      </c>
      <c r="J311" s="345"/>
    </row>
    <row r="312" spans="1:10">
      <c r="A312" s="6" t="s">
        <v>4</v>
      </c>
      <c r="B312" s="6" t="str">
        <f>VLOOKUP(A312,Fleet[],2,FALSE)</f>
        <v>Intel</v>
      </c>
      <c r="C312" s="160">
        <v>45740</v>
      </c>
      <c r="D312" s="346">
        <f>YEAR(DATE(YEAR(Runhours_Table[[#This Row],[Date]]-WEEKDAY(Runhours_Table[[#This Row],[Date]]-1)+4),1,1)-MOD((DATE(YEAR(Runhours_Table[[#This Row],[Date]]-WEEKDAY(Runhours_Table[[#This Row],[Date]]-1)+4),1,1)-2),7)+(7*IF(MOD((DATE(YEAR(Runhours_Table[[#This Row],[Date]]-WEEKDAY(Runhours_Table[[#This Row],[Date]]-1)+4),1,1)-2),7)&gt;3,1,0))+7)</f>
        <v>2025</v>
      </c>
      <c r="E312" s="164">
        <f>_xlfn.ISOWEEKNUM(Runhours_Table[[#This Row],[Date]])</f>
        <v>13</v>
      </c>
      <c r="F312" s="160" t="str">
        <f>RIGHT(YEAR(Runhours_Table[[#This Row],[Date]]),2)&amp;TEXT(_xlfn.ISOWEEKNUM(Runhours_Table[[#This Row],[Date]]),"00")</f>
        <v>2513</v>
      </c>
      <c r="G312" s="38">
        <v>8.0047219999999992</v>
      </c>
      <c r="H312" s="38">
        <v>9.8833329999999986</v>
      </c>
      <c r="I312" s="38">
        <f ca="1">_xlfn.ISOWEEKNUM(Runhours_Table[[#This Row],[Date]])+52*(Runhours_Table[[#This Row],[Year]]-YEAR(DATE(YEAR(TODAY()-WEEKDAY(TODAY()-1)+4),1,1)-MOD((DATE(YEAR(TODAY()-WEEKDAY(TODAY()-1)+4),1,1)-2),7)+(7*IF(MOD((DATE(YEAR(TODAY()-WEEKDAY(TODAY()-1)+4),1,1)-2),7)&gt;3,1,0))+7) )-_xlfn.ISOWEEKNUM(NOW())</f>
        <v>-24</v>
      </c>
      <c r="J312" s="345"/>
    </row>
    <row r="313" spans="1:10">
      <c r="A313" s="6" t="s">
        <v>7</v>
      </c>
      <c r="B313" s="6" t="str">
        <f>VLOOKUP(A313,Fleet[],2,FALSE)</f>
        <v>Intel</v>
      </c>
      <c r="C313" s="160">
        <v>45740</v>
      </c>
      <c r="D313" s="346">
        <f>YEAR(DATE(YEAR(Runhours_Table[[#This Row],[Date]]-WEEKDAY(Runhours_Table[[#This Row],[Date]]-1)+4),1,1)-MOD((DATE(YEAR(Runhours_Table[[#This Row],[Date]]-WEEKDAY(Runhours_Table[[#This Row],[Date]]-1)+4),1,1)-2),7)+(7*IF(MOD((DATE(YEAR(Runhours_Table[[#This Row],[Date]]-WEEKDAY(Runhours_Table[[#This Row],[Date]]-1)+4),1,1)-2),7)&gt;3,1,0))+7)</f>
        <v>2025</v>
      </c>
      <c r="E313" s="164">
        <f>_xlfn.ISOWEEKNUM(Runhours_Table[[#This Row],[Date]])</f>
        <v>13</v>
      </c>
      <c r="F313" s="160" t="str">
        <f>RIGHT(YEAR(Runhours_Table[[#This Row],[Date]]),2)&amp;TEXT(_xlfn.ISOWEEKNUM(Runhours_Table[[#This Row],[Date]]),"00")</f>
        <v>2513</v>
      </c>
      <c r="G313" s="38">
        <v>12.010555999999999</v>
      </c>
      <c r="H313" s="38">
        <v>14.75</v>
      </c>
      <c r="I313" s="38">
        <f ca="1">_xlfn.ISOWEEKNUM(Runhours_Table[[#This Row],[Date]])+52*(Runhours_Table[[#This Row],[Year]]-YEAR(DATE(YEAR(TODAY()-WEEKDAY(TODAY()-1)+4),1,1)-MOD((DATE(YEAR(TODAY()-WEEKDAY(TODAY()-1)+4),1,1)-2),7)+(7*IF(MOD((DATE(YEAR(TODAY()-WEEKDAY(TODAY()-1)+4),1,1)-2),7)&gt;3,1,0))+7) )-_xlfn.ISOWEEKNUM(NOW())</f>
        <v>-24</v>
      </c>
      <c r="J313" s="345"/>
    </row>
    <row r="314" spans="1:10">
      <c r="A314" s="6" t="s">
        <v>4</v>
      </c>
      <c r="B314" s="6" t="str">
        <f>VLOOKUP(A314,Fleet[],2,FALSE)</f>
        <v>Intel</v>
      </c>
      <c r="C314" s="160">
        <v>45741</v>
      </c>
      <c r="D314" s="346">
        <f>YEAR(DATE(YEAR(Runhours_Table[[#This Row],[Date]]-WEEKDAY(Runhours_Table[[#This Row],[Date]]-1)+4),1,1)-MOD((DATE(YEAR(Runhours_Table[[#This Row],[Date]]-WEEKDAY(Runhours_Table[[#This Row],[Date]]-1)+4),1,1)-2),7)+(7*IF(MOD((DATE(YEAR(Runhours_Table[[#This Row],[Date]]-WEEKDAY(Runhours_Table[[#This Row],[Date]]-1)+4),1,1)-2),7)&gt;3,1,0))+7)</f>
        <v>2025</v>
      </c>
      <c r="E314" s="164">
        <f>_xlfn.ISOWEEKNUM(Runhours_Table[[#This Row],[Date]])</f>
        <v>13</v>
      </c>
      <c r="F314" s="160" t="str">
        <f>RIGHT(YEAR(Runhours_Table[[#This Row],[Date]]),2)&amp;TEXT(_xlfn.ISOWEEKNUM(Runhours_Table[[#This Row],[Date]]),"00")</f>
        <v>2513</v>
      </c>
      <c r="G314" s="38">
        <v>4.1983329999999999</v>
      </c>
      <c r="H314" s="38">
        <v>15.683332999999999</v>
      </c>
      <c r="I314" s="38">
        <f ca="1">_xlfn.ISOWEEKNUM(Runhours_Table[[#This Row],[Date]])+52*(Runhours_Table[[#This Row],[Year]]-YEAR(DATE(YEAR(TODAY()-WEEKDAY(TODAY()-1)+4),1,1)-MOD((DATE(YEAR(TODAY()-WEEKDAY(TODAY()-1)+4),1,1)-2),7)+(7*IF(MOD((DATE(YEAR(TODAY()-WEEKDAY(TODAY()-1)+4),1,1)-2),7)&gt;3,1,0))+7) )-_xlfn.ISOWEEKNUM(NOW())</f>
        <v>-24</v>
      </c>
      <c r="J314" s="345"/>
    </row>
    <row r="315" spans="1:10">
      <c r="A315" s="6" t="s">
        <v>7</v>
      </c>
      <c r="B315" s="6" t="str">
        <f>VLOOKUP(A315,Fleet[],2,FALSE)</f>
        <v>Intel</v>
      </c>
      <c r="C315" s="160">
        <v>45741</v>
      </c>
      <c r="D315" s="346">
        <f>YEAR(DATE(YEAR(Runhours_Table[[#This Row],[Date]]-WEEKDAY(Runhours_Table[[#This Row],[Date]]-1)+4),1,1)-MOD((DATE(YEAR(Runhours_Table[[#This Row],[Date]]-WEEKDAY(Runhours_Table[[#This Row],[Date]]-1)+4),1,1)-2),7)+(7*IF(MOD((DATE(YEAR(Runhours_Table[[#This Row],[Date]]-WEEKDAY(Runhours_Table[[#This Row],[Date]]-1)+4),1,1)-2),7)&gt;3,1,0))+7)</f>
        <v>2025</v>
      </c>
      <c r="E315" s="164">
        <f>_xlfn.ISOWEEKNUM(Runhours_Table[[#This Row],[Date]])</f>
        <v>13</v>
      </c>
      <c r="F315" s="160" t="str">
        <f>RIGHT(YEAR(Runhours_Table[[#This Row],[Date]]),2)&amp;TEXT(_xlfn.ISOWEEKNUM(Runhours_Table[[#This Row],[Date]]),"00")</f>
        <v>2513</v>
      </c>
      <c r="G315" s="38">
        <v>5.5677779999999997</v>
      </c>
      <c r="H315" s="38">
        <v>8.85</v>
      </c>
      <c r="I315" s="38">
        <f ca="1">_xlfn.ISOWEEKNUM(Runhours_Table[[#This Row],[Date]])+52*(Runhours_Table[[#This Row],[Year]]-YEAR(DATE(YEAR(TODAY()-WEEKDAY(TODAY()-1)+4),1,1)-MOD((DATE(YEAR(TODAY()-WEEKDAY(TODAY()-1)+4),1,1)-2),7)+(7*IF(MOD((DATE(YEAR(TODAY()-WEEKDAY(TODAY()-1)+4),1,1)-2),7)&gt;3,1,0))+7) )-_xlfn.ISOWEEKNUM(NOW())</f>
        <v>-24</v>
      </c>
      <c r="J315" s="345"/>
    </row>
    <row r="316" spans="1:10">
      <c r="A316" s="6" t="s">
        <v>4</v>
      </c>
      <c r="B316" s="6" t="str">
        <f>VLOOKUP(A316,Fleet[],2,FALSE)</f>
        <v>Intel</v>
      </c>
      <c r="C316" s="160">
        <v>45742</v>
      </c>
      <c r="D316" s="346">
        <f>YEAR(DATE(YEAR(Runhours_Table[[#This Row],[Date]]-WEEKDAY(Runhours_Table[[#This Row],[Date]]-1)+4),1,1)-MOD((DATE(YEAR(Runhours_Table[[#This Row],[Date]]-WEEKDAY(Runhours_Table[[#This Row],[Date]]-1)+4),1,1)-2),7)+(7*IF(MOD((DATE(YEAR(Runhours_Table[[#This Row],[Date]]-WEEKDAY(Runhours_Table[[#This Row],[Date]]-1)+4),1,1)-2),7)&gt;3,1,0))+7)</f>
        <v>2025</v>
      </c>
      <c r="E316" s="164">
        <f>_xlfn.ISOWEEKNUM(Runhours_Table[[#This Row],[Date]])</f>
        <v>13</v>
      </c>
      <c r="F316" s="160" t="str">
        <f>RIGHT(YEAR(Runhours_Table[[#This Row],[Date]]),2)&amp;TEXT(_xlfn.ISOWEEKNUM(Runhours_Table[[#This Row],[Date]]),"00")</f>
        <v>2513</v>
      </c>
      <c r="G316" s="38">
        <v>7.3747220000000002</v>
      </c>
      <c r="H316" s="38">
        <v>18.216666</v>
      </c>
      <c r="I316" s="38">
        <f ca="1">_xlfn.ISOWEEKNUM(Runhours_Table[[#This Row],[Date]])+52*(Runhours_Table[[#This Row],[Year]]-YEAR(DATE(YEAR(TODAY()-WEEKDAY(TODAY()-1)+4),1,1)-MOD((DATE(YEAR(TODAY()-WEEKDAY(TODAY()-1)+4),1,1)-2),7)+(7*IF(MOD((DATE(YEAR(TODAY()-WEEKDAY(TODAY()-1)+4),1,1)-2),7)&gt;3,1,0))+7) )-_xlfn.ISOWEEKNUM(NOW())</f>
        <v>-24</v>
      </c>
      <c r="J316" s="345"/>
    </row>
    <row r="317" spans="1:10">
      <c r="A317" s="6" t="s">
        <v>7</v>
      </c>
      <c r="B317" s="6" t="str">
        <f>VLOOKUP(A317,Fleet[],2,FALSE)</f>
        <v>Intel</v>
      </c>
      <c r="C317" s="160">
        <v>45742</v>
      </c>
      <c r="D317" s="346">
        <f>YEAR(DATE(YEAR(Runhours_Table[[#This Row],[Date]]-WEEKDAY(Runhours_Table[[#This Row],[Date]]-1)+4),1,1)-MOD((DATE(YEAR(Runhours_Table[[#This Row],[Date]]-WEEKDAY(Runhours_Table[[#This Row],[Date]]-1)+4),1,1)-2),7)+(7*IF(MOD((DATE(YEAR(Runhours_Table[[#This Row],[Date]]-WEEKDAY(Runhours_Table[[#This Row],[Date]]-1)+4),1,1)-2),7)&gt;3,1,0))+7)</f>
        <v>2025</v>
      </c>
      <c r="E317" s="164">
        <f>_xlfn.ISOWEEKNUM(Runhours_Table[[#This Row],[Date]])</f>
        <v>13</v>
      </c>
      <c r="F317" s="160" t="str">
        <f>RIGHT(YEAR(Runhours_Table[[#This Row],[Date]]),2)&amp;TEXT(_xlfn.ISOWEEKNUM(Runhours_Table[[#This Row],[Date]]),"00")</f>
        <v>2513</v>
      </c>
      <c r="G317" s="38"/>
      <c r="H317" s="38">
        <v>0</v>
      </c>
      <c r="I317" s="38">
        <f ca="1">_xlfn.ISOWEEKNUM(Runhours_Table[[#This Row],[Date]])+52*(Runhours_Table[[#This Row],[Year]]-YEAR(DATE(YEAR(TODAY()-WEEKDAY(TODAY()-1)+4),1,1)-MOD((DATE(YEAR(TODAY()-WEEKDAY(TODAY()-1)+4),1,1)-2),7)+(7*IF(MOD((DATE(YEAR(TODAY()-WEEKDAY(TODAY()-1)+4),1,1)-2),7)&gt;3,1,0))+7) )-_xlfn.ISOWEEKNUM(NOW())</f>
        <v>-24</v>
      </c>
      <c r="J317" s="345"/>
    </row>
    <row r="318" spans="1:10">
      <c r="A318" s="6" t="s">
        <v>4</v>
      </c>
      <c r="B318" s="6" t="str">
        <f>VLOOKUP(A318,Fleet[],2,FALSE)</f>
        <v>Intel</v>
      </c>
      <c r="C318" s="160">
        <v>45743</v>
      </c>
      <c r="D318" s="346">
        <f>YEAR(DATE(YEAR(Runhours_Table[[#This Row],[Date]]-WEEKDAY(Runhours_Table[[#This Row],[Date]]-1)+4),1,1)-MOD((DATE(YEAR(Runhours_Table[[#This Row],[Date]]-WEEKDAY(Runhours_Table[[#This Row],[Date]]-1)+4),1,1)-2),7)+(7*IF(MOD((DATE(YEAR(Runhours_Table[[#This Row],[Date]]-WEEKDAY(Runhours_Table[[#This Row],[Date]]-1)+4),1,1)-2),7)&gt;3,1,0))+7)</f>
        <v>2025</v>
      </c>
      <c r="E318" s="164">
        <f>_xlfn.ISOWEEKNUM(Runhours_Table[[#This Row],[Date]])</f>
        <v>13</v>
      </c>
      <c r="F318" s="160" t="str">
        <f>RIGHT(YEAR(Runhours_Table[[#This Row],[Date]]),2)&amp;TEXT(_xlfn.ISOWEEKNUM(Runhours_Table[[#This Row],[Date]]),"00")</f>
        <v>2513</v>
      </c>
      <c r="G318" s="38">
        <v>11.816110999999999</v>
      </c>
      <c r="H318" s="38">
        <v>15.466666999999999</v>
      </c>
      <c r="I318" s="38">
        <f ca="1">_xlfn.ISOWEEKNUM(Runhours_Table[[#This Row],[Date]])+52*(Runhours_Table[[#This Row],[Year]]-YEAR(DATE(YEAR(TODAY()-WEEKDAY(TODAY()-1)+4),1,1)-MOD((DATE(YEAR(TODAY()-WEEKDAY(TODAY()-1)+4),1,1)-2),7)+(7*IF(MOD((DATE(YEAR(TODAY()-WEEKDAY(TODAY()-1)+4),1,1)-2),7)&gt;3,1,0))+7) )-_xlfn.ISOWEEKNUM(NOW())</f>
        <v>-24</v>
      </c>
      <c r="J318" s="345"/>
    </row>
    <row r="319" spans="1:10">
      <c r="A319" s="6" t="s">
        <v>7</v>
      </c>
      <c r="B319" s="6" t="str">
        <f>VLOOKUP(A319,Fleet[],2,FALSE)</f>
        <v>Intel</v>
      </c>
      <c r="C319" s="160">
        <v>45743</v>
      </c>
      <c r="D319" s="346">
        <f>YEAR(DATE(YEAR(Runhours_Table[[#This Row],[Date]]-WEEKDAY(Runhours_Table[[#This Row],[Date]]-1)+4),1,1)-MOD((DATE(YEAR(Runhours_Table[[#This Row],[Date]]-WEEKDAY(Runhours_Table[[#This Row],[Date]]-1)+4),1,1)-2),7)+(7*IF(MOD((DATE(YEAR(Runhours_Table[[#This Row],[Date]]-WEEKDAY(Runhours_Table[[#This Row],[Date]]-1)+4),1,1)-2),7)&gt;3,1,0))+7)</f>
        <v>2025</v>
      </c>
      <c r="E319" s="164">
        <f>_xlfn.ISOWEEKNUM(Runhours_Table[[#This Row],[Date]])</f>
        <v>13</v>
      </c>
      <c r="F319" s="160" t="str">
        <f>RIGHT(YEAR(Runhours_Table[[#This Row],[Date]]),2)&amp;TEXT(_xlfn.ISOWEEKNUM(Runhours_Table[[#This Row],[Date]]),"00")</f>
        <v>2513</v>
      </c>
      <c r="G319" s="38">
        <v>3.0013890000000001</v>
      </c>
      <c r="H319" s="38">
        <v>3.7166670000000002</v>
      </c>
      <c r="I319" s="38">
        <f ca="1">_xlfn.ISOWEEKNUM(Runhours_Table[[#This Row],[Date]])+52*(Runhours_Table[[#This Row],[Year]]-YEAR(DATE(YEAR(TODAY()-WEEKDAY(TODAY()-1)+4),1,1)-MOD((DATE(YEAR(TODAY()-WEEKDAY(TODAY()-1)+4),1,1)-2),7)+(7*IF(MOD((DATE(YEAR(TODAY()-WEEKDAY(TODAY()-1)+4),1,1)-2),7)&gt;3,1,0))+7) )-_xlfn.ISOWEEKNUM(NOW())</f>
        <v>-24</v>
      </c>
      <c r="J319" s="345"/>
    </row>
    <row r="320" spans="1:10">
      <c r="A320" s="6" t="s">
        <v>4</v>
      </c>
      <c r="B320" s="6" t="str">
        <f>VLOOKUP(A320,Fleet[],2,FALSE)</f>
        <v>Intel</v>
      </c>
      <c r="C320" s="160">
        <v>45744</v>
      </c>
      <c r="D320" s="346">
        <f>YEAR(DATE(YEAR(Runhours_Table[[#This Row],[Date]]-WEEKDAY(Runhours_Table[[#This Row],[Date]]-1)+4),1,1)-MOD((DATE(YEAR(Runhours_Table[[#This Row],[Date]]-WEEKDAY(Runhours_Table[[#This Row],[Date]]-1)+4),1,1)-2),7)+(7*IF(MOD((DATE(YEAR(Runhours_Table[[#This Row],[Date]]-WEEKDAY(Runhours_Table[[#This Row],[Date]]-1)+4),1,1)-2),7)&gt;3,1,0))+7)</f>
        <v>2025</v>
      </c>
      <c r="E320" s="164">
        <f>_xlfn.ISOWEEKNUM(Runhours_Table[[#This Row],[Date]])</f>
        <v>13</v>
      </c>
      <c r="F320" s="160" t="str">
        <f>RIGHT(YEAR(Runhours_Table[[#This Row],[Date]]),2)&amp;TEXT(_xlfn.ISOWEEKNUM(Runhours_Table[[#This Row],[Date]]),"00")</f>
        <v>2513</v>
      </c>
      <c r="G320" s="38">
        <v>10.187778</v>
      </c>
      <c r="H320" s="38">
        <v>11.3</v>
      </c>
      <c r="I320" s="38">
        <f ca="1">_xlfn.ISOWEEKNUM(Runhours_Table[[#This Row],[Date]])+52*(Runhours_Table[[#This Row],[Year]]-YEAR(DATE(YEAR(TODAY()-WEEKDAY(TODAY()-1)+4),1,1)-MOD((DATE(YEAR(TODAY()-WEEKDAY(TODAY()-1)+4),1,1)-2),7)+(7*IF(MOD((DATE(YEAR(TODAY()-WEEKDAY(TODAY()-1)+4),1,1)-2),7)&gt;3,1,0))+7) )-_xlfn.ISOWEEKNUM(NOW())</f>
        <v>-24</v>
      </c>
      <c r="J320" s="345"/>
    </row>
    <row r="321" spans="1:10">
      <c r="A321" s="6" t="s">
        <v>7</v>
      </c>
      <c r="B321" s="6" t="str">
        <f>VLOOKUP(A321,Fleet[],2,FALSE)</f>
        <v>Intel</v>
      </c>
      <c r="C321" s="160">
        <v>45744</v>
      </c>
      <c r="D321" s="346">
        <f>YEAR(DATE(YEAR(Runhours_Table[[#This Row],[Date]]-WEEKDAY(Runhours_Table[[#This Row],[Date]]-1)+4),1,1)-MOD((DATE(YEAR(Runhours_Table[[#This Row],[Date]]-WEEKDAY(Runhours_Table[[#This Row],[Date]]-1)+4),1,1)-2),7)+(7*IF(MOD((DATE(YEAR(Runhours_Table[[#This Row],[Date]]-WEEKDAY(Runhours_Table[[#This Row],[Date]]-1)+4),1,1)-2),7)&gt;3,1,0))+7)</f>
        <v>2025</v>
      </c>
      <c r="E321" s="164">
        <f>_xlfn.ISOWEEKNUM(Runhours_Table[[#This Row],[Date]])</f>
        <v>13</v>
      </c>
      <c r="F321" s="160" t="str">
        <f>RIGHT(YEAR(Runhours_Table[[#This Row],[Date]]),2)&amp;TEXT(_xlfn.ISOWEEKNUM(Runhours_Table[[#This Row],[Date]]),"00")</f>
        <v>2513</v>
      </c>
      <c r="G321" s="38">
        <v>19.695556</v>
      </c>
      <c r="H321" s="38">
        <v>24</v>
      </c>
      <c r="I321" s="38">
        <f ca="1">_xlfn.ISOWEEKNUM(Runhours_Table[[#This Row],[Date]])+52*(Runhours_Table[[#This Row],[Year]]-YEAR(DATE(YEAR(TODAY()-WEEKDAY(TODAY()-1)+4),1,1)-MOD((DATE(YEAR(TODAY()-WEEKDAY(TODAY()-1)+4),1,1)-2),7)+(7*IF(MOD((DATE(YEAR(TODAY()-WEEKDAY(TODAY()-1)+4),1,1)-2),7)&gt;3,1,0))+7) )-_xlfn.ISOWEEKNUM(NOW())</f>
        <v>-24</v>
      </c>
      <c r="J321" s="345"/>
    </row>
    <row r="322" spans="1:10">
      <c r="A322" s="6" t="s">
        <v>4</v>
      </c>
      <c r="B322" s="6" t="str">
        <f>VLOOKUP(A322,Fleet[],2,FALSE)</f>
        <v>Intel</v>
      </c>
      <c r="C322" s="160">
        <v>45745</v>
      </c>
      <c r="D322" s="346">
        <f>YEAR(DATE(YEAR(Runhours_Table[[#This Row],[Date]]-WEEKDAY(Runhours_Table[[#This Row],[Date]]-1)+4),1,1)-MOD((DATE(YEAR(Runhours_Table[[#This Row],[Date]]-WEEKDAY(Runhours_Table[[#This Row],[Date]]-1)+4),1,1)-2),7)+(7*IF(MOD((DATE(YEAR(Runhours_Table[[#This Row],[Date]]-WEEKDAY(Runhours_Table[[#This Row],[Date]]-1)+4),1,1)-2),7)&gt;3,1,0))+7)</f>
        <v>2025</v>
      </c>
      <c r="E322" s="164">
        <f>_xlfn.ISOWEEKNUM(Runhours_Table[[#This Row],[Date]])</f>
        <v>13</v>
      </c>
      <c r="F322" s="160" t="str">
        <f>RIGHT(YEAR(Runhours_Table[[#This Row],[Date]]),2)&amp;TEXT(_xlfn.ISOWEEKNUM(Runhours_Table[[#This Row],[Date]]),"00")</f>
        <v>2513</v>
      </c>
      <c r="G322" s="38">
        <v>8.7205560000000002</v>
      </c>
      <c r="H322" s="38">
        <v>13.283334</v>
      </c>
      <c r="I322" s="38">
        <f ca="1">_xlfn.ISOWEEKNUM(Runhours_Table[[#This Row],[Date]])+52*(Runhours_Table[[#This Row],[Year]]-YEAR(DATE(YEAR(TODAY()-WEEKDAY(TODAY()-1)+4),1,1)-MOD((DATE(YEAR(TODAY()-WEEKDAY(TODAY()-1)+4),1,1)-2),7)+(7*IF(MOD((DATE(YEAR(TODAY()-WEEKDAY(TODAY()-1)+4),1,1)-2),7)&gt;3,1,0))+7) )-_xlfn.ISOWEEKNUM(NOW())</f>
        <v>-24</v>
      </c>
      <c r="J322" s="345"/>
    </row>
    <row r="323" spans="1:10">
      <c r="A323" s="6" t="s">
        <v>7</v>
      </c>
      <c r="B323" s="6" t="str">
        <f>VLOOKUP(A323,Fleet[],2,FALSE)</f>
        <v>Intel</v>
      </c>
      <c r="C323" s="160">
        <v>45745</v>
      </c>
      <c r="D323" s="346">
        <f>YEAR(DATE(YEAR(Runhours_Table[[#This Row],[Date]]-WEEKDAY(Runhours_Table[[#This Row],[Date]]-1)+4),1,1)-MOD((DATE(YEAR(Runhours_Table[[#This Row],[Date]]-WEEKDAY(Runhours_Table[[#This Row],[Date]]-1)+4),1,1)-2),7)+(7*IF(MOD((DATE(YEAR(Runhours_Table[[#This Row],[Date]]-WEEKDAY(Runhours_Table[[#This Row],[Date]]-1)+4),1,1)-2),7)&gt;3,1,0))+7)</f>
        <v>2025</v>
      </c>
      <c r="E323" s="164">
        <f>_xlfn.ISOWEEKNUM(Runhours_Table[[#This Row],[Date]])</f>
        <v>13</v>
      </c>
      <c r="F323" s="160" t="str">
        <f>RIGHT(YEAR(Runhours_Table[[#This Row],[Date]]),2)&amp;TEXT(_xlfn.ISOWEEKNUM(Runhours_Table[[#This Row],[Date]]),"00")</f>
        <v>2513</v>
      </c>
      <c r="G323" s="38">
        <v>5.9630559999999999</v>
      </c>
      <c r="H323" s="38">
        <v>7.4333340000000003</v>
      </c>
      <c r="I323" s="38">
        <f ca="1">_xlfn.ISOWEEKNUM(Runhours_Table[[#This Row],[Date]])+52*(Runhours_Table[[#This Row],[Year]]-YEAR(DATE(YEAR(TODAY()-WEEKDAY(TODAY()-1)+4),1,1)-MOD((DATE(YEAR(TODAY()-WEEKDAY(TODAY()-1)+4),1,1)-2),7)+(7*IF(MOD((DATE(YEAR(TODAY()-WEEKDAY(TODAY()-1)+4),1,1)-2),7)&gt;3,1,0))+7) )-_xlfn.ISOWEEKNUM(NOW())</f>
        <v>-24</v>
      </c>
      <c r="J323" s="345"/>
    </row>
    <row r="324" spans="1:10">
      <c r="A324" s="6" t="s">
        <v>4</v>
      </c>
      <c r="B324" s="6" t="str">
        <f>VLOOKUP(A324,Fleet[],2,FALSE)</f>
        <v>Intel</v>
      </c>
      <c r="C324" s="160">
        <v>45746</v>
      </c>
      <c r="D324" s="346">
        <f>YEAR(DATE(YEAR(Runhours_Table[[#This Row],[Date]]-WEEKDAY(Runhours_Table[[#This Row],[Date]]-1)+4),1,1)-MOD((DATE(YEAR(Runhours_Table[[#This Row],[Date]]-WEEKDAY(Runhours_Table[[#This Row],[Date]]-1)+4),1,1)-2),7)+(7*IF(MOD((DATE(YEAR(Runhours_Table[[#This Row],[Date]]-WEEKDAY(Runhours_Table[[#This Row],[Date]]-1)+4),1,1)-2),7)&gt;3,1,0))+7)</f>
        <v>2025</v>
      </c>
      <c r="E324" s="164">
        <f>_xlfn.ISOWEEKNUM(Runhours_Table[[#This Row],[Date]])</f>
        <v>13</v>
      </c>
      <c r="F324" s="160" t="str">
        <f>RIGHT(YEAR(Runhours_Table[[#This Row],[Date]]),2)&amp;TEXT(_xlfn.ISOWEEKNUM(Runhours_Table[[#This Row],[Date]]),"00")</f>
        <v>2513</v>
      </c>
      <c r="G324" s="38">
        <v>19.419443999999999</v>
      </c>
      <c r="H324" s="38">
        <v>21.666665999999999</v>
      </c>
      <c r="I324" s="38">
        <f ca="1">_xlfn.ISOWEEKNUM(Runhours_Table[[#This Row],[Date]])+52*(Runhours_Table[[#This Row],[Year]]-YEAR(DATE(YEAR(TODAY()-WEEKDAY(TODAY()-1)+4),1,1)-MOD((DATE(YEAR(TODAY()-WEEKDAY(TODAY()-1)+4),1,1)-2),7)+(7*IF(MOD((DATE(YEAR(TODAY()-WEEKDAY(TODAY()-1)+4),1,1)-2),7)&gt;3,1,0))+7) )-_xlfn.ISOWEEKNUM(NOW())</f>
        <v>-24</v>
      </c>
      <c r="J324" s="345"/>
    </row>
    <row r="325" spans="1:10">
      <c r="A325" s="6" t="s">
        <v>7</v>
      </c>
      <c r="B325" s="6" t="str">
        <f>VLOOKUP(A325,Fleet[],2,FALSE)</f>
        <v>Intel</v>
      </c>
      <c r="C325" s="160">
        <v>45746</v>
      </c>
      <c r="D325" s="346">
        <f>YEAR(DATE(YEAR(Runhours_Table[[#This Row],[Date]]-WEEKDAY(Runhours_Table[[#This Row],[Date]]-1)+4),1,1)-MOD((DATE(YEAR(Runhours_Table[[#This Row],[Date]]-WEEKDAY(Runhours_Table[[#This Row],[Date]]-1)+4),1,1)-2),7)+(7*IF(MOD((DATE(YEAR(Runhours_Table[[#This Row],[Date]]-WEEKDAY(Runhours_Table[[#This Row],[Date]]-1)+4),1,1)-2),7)&gt;3,1,0))+7)</f>
        <v>2025</v>
      </c>
      <c r="E325" s="164">
        <f>_xlfn.ISOWEEKNUM(Runhours_Table[[#This Row],[Date]])</f>
        <v>13</v>
      </c>
      <c r="F325" s="160" t="str">
        <f>RIGHT(YEAR(Runhours_Table[[#This Row],[Date]]),2)&amp;TEXT(_xlfn.ISOWEEKNUM(Runhours_Table[[#This Row],[Date]]),"00")</f>
        <v>2513</v>
      </c>
      <c r="G325" s="38">
        <v>12.993611</v>
      </c>
      <c r="H325" s="38">
        <v>16.2</v>
      </c>
      <c r="I325" s="38">
        <f ca="1">_xlfn.ISOWEEKNUM(Runhours_Table[[#This Row],[Date]])+52*(Runhours_Table[[#This Row],[Year]]-YEAR(DATE(YEAR(TODAY()-WEEKDAY(TODAY()-1)+4),1,1)-MOD((DATE(YEAR(TODAY()-WEEKDAY(TODAY()-1)+4),1,1)-2),7)+(7*IF(MOD((DATE(YEAR(TODAY()-WEEKDAY(TODAY()-1)+4),1,1)-2),7)&gt;3,1,0))+7) )-_xlfn.ISOWEEKNUM(NOW())</f>
        <v>-24</v>
      </c>
      <c r="J325" s="345"/>
    </row>
    <row r="326" spans="1:10">
      <c r="A326" s="6" t="s">
        <v>4</v>
      </c>
      <c r="B326" s="6" t="str">
        <f>VLOOKUP(A326,Fleet[],2,FALSE)</f>
        <v>Intel</v>
      </c>
      <c r="C326" s="160">
        <v>45747</v>
      </c>
      <c r="D326" s="346">
        <f>YEAR(DATE(YEAR(Runhours_Table[[#This Row],[Date]]-WEEKDAY(Runhours_Table[[#This Row],[Date]]-1)+4),1,1)-MOD((DATE(YEAR(Runhours_Table[[#This Row],[Date]]-WEEKDAY(Runhours_Table[[#This Row],[Date]]-1)+4),1,1)-2),7)+(7*IF(MOD((DATE(YEAR(Runhours_Table[[#This Row],[Date]]-WEEKDAY(Runhours_Table[[#This Row],[Date]]-1)+4),1,1)-2),7)&gt;3,1,0))+7)</f>
        <v>2025</v>
      </c>
      <c r="E326" s="164">
        <f>_xlfn.ISOWEEKNUM(Runhours_Table[[#This Row],[Date]])</f>
        <v>14</v>
      </c>
      <c r="F326" s="160" t="str">
        <f>RIGHT(YEAR(Runhours_Table[[#This Row],[Date]]),2)&amp;TEXT(_xlfn.ISOWEEKNUM(Runhours_Table[[#This Row],[Date]]),"00")</f>
        <v>2514</v>
      </c>
      <c r="G326" s="38">
        <v>2.5472220000000001</v>
      </c>
      <c r="H326" s="38">
        <v>7.6833329999999993</v>
      </c>
      <c r="I326" s="38">
        <f ca="1">_xlfn.ISOWEEKNUM(Runhours_Table[[#This Row],[Date]])+52*(Runhours_Table[[#This Row],[Year]]-YEAR(DATE(YEAR(TODAY()-WEEKDAY(TODAY()-1)+4),1,1)-MOD((DATE(YEAR(TODAY()-WEEKDAY(TODAY()-1)+4),1,1)-2),7)+(7*IF(MOD((DATE(YEAR(TODAY()-WEEKDAY(TODAY()-1)+4),1,1)-2),7)&gt;3,1,0))+7) )-_xlfn.ISOWEEKNUM(NOW())</f>
        <v>-23</v>
      </c>
      <c r="J326" s="345"/>
    </row>
    <row r="327" spans="1:10">
      <c r="A327" s="39" t="s">
        <v>7</v>
      </c>
      <c r="B327" s="6" t="str">
        <f>VLOOKUP(A327,Fleet[],2,FALSE)</f>
        <v>Intel</v>
      </c>
      <c r="C327" s="160">
        <v>45747</v>
      </c>
      <c r="D327" s="346">
        <f>YEAR(DATE(YEAR(Runhours_Table[[#This Row],[Date]]-WEEKDAY(Runhours_Table[[#This Row],[Date]]-1)+4),1,1)-MOD((DATE(YEAR(Runhours_Table[[#This Row],[Date]]-WEEKDAY(Runhours_Table[[#This Row],[Date]]-1)+4),1,1)-2),7)+(7*IF(MOD((DATE(YEAR(Runhours_Table[[#This Row],[Date]]-WEEKDAY(Runhours_Table[[#This Row],[Date]]-1)+4),1,1)-2),7)&gt;3,1,0))+7)</f>
        <v>2025</v>
      </c>
      <c r="E327" s="164">
        <f>_xlfn.ISOWEEKNUM(Runhours_Table[[#This Row],[Date]])</f>
        <v>14</v>
      </c>
      <c r="F327" s="160" t="str">
        <f>RIGHT(YEAR(Runhours_Table[[#This Row],[Date]]),2)&amp;TEXT(_xlfn.ISOWEEKNUM(Runhours_Table[[#This Row],[Date]]),"00")</f>
        <v>2514</v>
      </c>
      <c r="G327" s="31">
        <v>13.103889000000001</v>
      </c>
      <c r="H327" s="38">
        <v>19.066667000000002</v>
      </c>
      <c r="I327" s="38">
        <f ca="1">_xlfn.ISOWEEKNUM(Runhours_Table[[#This Row],[Date]])+52*(Runhours_Table[[#This Row],[Year]]-YEAR(DATE(YEAR(TODAY()-WEEKDAY(TODAY()-1)+4),1,1)-MOD((DATE(YEAR(TODAY()-WEEKDAY(TODAY()-1)+4),1,1)-2),7)+(7*IF(MOD((DATE(YEAR(TODAY()-WEEKDAY(TODAY()-1)+4),1,1)-2),7)&gt;3,1,0))+7) )-_xlfn.ISOWEEKNUM(NOW())</f>
        <v>-23</v>
      </c>
      <c r="J327" s="345"/>
    </row>
    <row r="328" spans="1:10">
      <c r="A328" s="6" t="s">
        <v>4</v>
      </c>
      <c r="B328" s="6" t="str">
        <f>VLOOKUP(A328,Fleet[],2,FALSE)</f>
        <v>Intel</v>
      </c>
      <c r="C328" s="160">
        <v>45748</v>
      </c>
      <c r="D328" s="346">
        <f>YEAR(DATE(YEAR(Runhours_Table[[#This Row],[Date]]-WEEKDAY(Runhours_Table[[#This Row],[Date]]-1)+4),1,1)-MOD((DATE(YEAR(Runhours_Table[[#This Row],[Date]]-WEEKDAY(Runhours_Table[[#This Row],[Date]]-1)+4),1,1)-2),7)+(7*IF(MOD((DATE(YEAR(Runhours_Table[[#This Row],[Date]]-WEEKDAY(Runhours_Table[[#This Row],[Date]]-1)+4),1,1)-2),7)&gt;3,1,0))+7)</f>
        <v>2025</v>
      </c>
      <c r="E328" s="164">
        <f>_xlfn.ISOWEEKNUM(Runhours_Table[[#This Row],[Date]])</f>
        <v>14</v>
      </c>
      <c r="F328" s="160" t="str">
        <f>RIGHT(YEAR(Runhours_Table[[#This Row],[Date]]),2)&amp;TEXT(_xlfn.ISOWEEKNUM(Runhours_Table[[#This Row],[Date]]),"00")</f>
        <v>2514</v>
      </c>
      <c r="G328" s="38">
        <v>1.826111</v>
      </c>
      <c r="H328" s="38">
        <v>3.3333330000000001</v>
      </c>
      <c r="I328" s="38">
        <f ca="1">_xlfn.ISOWEEKNUM(Runhours_Table[[#This Row],[Date]])+52*(Runhours_Table[[#This Row],[Year]]-YEAR(DATE(YEAR(TODAY()-WEEKDAY(TODAY()-1)+4),1,1)-MOD((DATE(YEAR(TODAY()-WEEKDAY(TODAY()-1)+4),1,1)-2),7)+(7*IF(MOD((DATE(YEAR(TODAY()-WEEKDAY(TODAY()-1)+4),1,1)-2),7)&gt;3,1,0))+7) )-_xlfn.ISOWEEKNUM(NOW())</f>
        <v>-23</v>
      </c>
      <c r="J328" s="345"/>
    </row>
    <row r="329" spans="1:10">
      <c r="A329" s="6" t="s">
        <v>7</v>
      </c>
      <c r="B329" s="6" t="str">
        <f>VLOOKUP(A329,Fleet[],2,FALSE)</f>
        <v>Intel</v>
      </c>
      <c r="C329" s="160">
        <v>45748</v>
      </c>
      <c r="D329" s="346">
        <f>YEAR(DATE(YEAR(Runhours_Table[[#This Row],[Date]]-WEEKDAY(Runhours_Table[[#This Row],[Date]]-1)+4),1,1)-MOD((DATE(YEAR(Runhours_Table[[#This Row],[Date]]-WEEKDAY(Runhours_Table[[#This Row],[Date]]-1)+4),1,1)-2),7)+(7*IF(MOD((DATE(YEAR(Runhours_Table[[#This Row],[Date]]-WEEKDAY(Runhours_Table[[#This Row],[Date]]-1)+4),1,1)-2),7)&gt;3,1,0))+7)</f>
        <v>2025</v>
      </c>
      <c r="E329" s="164">
        <f>_xlfn.ISOWEEKNUM(Runhours_Table[[#This Row],[Date]])</f>
        <v>14</v>
      </c>
      <c r="F329" s="160" t="str">
        <f>RIGHT(YEAR(Runhours_Table[[#This Row],[Date]]),2)&amp;TEXT(_xlfn.ISOWEEKNUM(Runhours_Table[[#This Row],[Date]]),"00")</f>
        <v>2514</v>
      </c>
      <c r="G329" s="38">
        <v>16.171666999999999</v>
      </c>
      <c r="H329" s="38">
        <v>20.533334</v>
      </c>
      <c r="I329" s="38">
        <f ca="1">_xlfn.ISOWEEKNUM(Runhours_Table[[#This Row],[Date]])+52*(Runhours_Table[[#This Row],[Year]]-YEAR(DATE(YEAR(TODAY()-WEEKDAY(TODAY()-1)+4),1,1)-MOD((DATE(YEAR(TODAY()-WEEKDAY(TODAY()-1)+4),1,1)-2),7)+(7*IF(MOD((DATE(YEAR(TODAY()-WEEKDAY(TODAY()-1)+4),1,1)-2),7)&gt;3,1,0))+7) )-_xlfn.ISOWEEKNUM(NOW())</f>
        <v>-23</v>
      </c>
      <c r="J329" s="345"/>
    </row>
    <row r="330" spans="1:10">
      <c r="A330" s="6" t="s">
        <v>4</v>
      </c>
      <c r="B330" s="6" t="str">
        <f>VLOOKUP(A330,Fleet[],2,FALSE)</f>
        <v>Intel</v>
      </c>
      <c r="C330" s="160">
        <v>45749</v>
      </c>
      <c r="D330" s="346">
        <f>YEAR(DATE(YEAR(Runhours_Table[[#This Row],[Date]]-WEEKDAY(Runhours_Table[[#This Row],[Date]]-1)+4),1,1)-MOD((DATE(YEAR(Runhours_Table[[#This Row],[Date]]-WEEKDAY(Runhours_Table[[#This Row],[Date]]-1)+4),1,1)-2),7)+(7*IF(MOD((DATE(YEAR(Runhours_Table[[#This Row],[Date]]-WEEKDAY(Runhours_Table[[#This Row],[Date]]-1)+4),1,1)-2),7)&gt;3,1,0))+7)</f>
        <v>2025</v>
      </c>
      <c r="E330" s="164">
        <f>_xlfn.ISOWEEKNUM(Runhours_Table[[#This Row],[Date]])</f>
        <v>14</v>
      </c>
      <c r="F330" s="160" t="str">
        <f>RIGHT(YEAR(Runhours_Table[[#This Row],[Date]]),2)&amp;TEXT(_xlfn.ISOWEEKNUM(Runhours_Table[[#This Row],[Date]]),"00")</f>
        <v>2514</v>
      </c>
      <c r="G330" s="38">
        <v>7.8083330000000002</v>
      </c>
      <c r="H330" s="38">
        <v>9.483333</v>
      </c>
      <c r="I330" s="38">
        <f ca="1">_xlfn.ISOWEEKNUM(Runhours_Table[[#This Row],[Date]])+52*(Runhours_Table[[#This Row],[Year]]-YEAR(DATE(YEAR(TODAY()-WEEKDAY(TODAY()-1)+4),1,1)-MOD((DATE(YEAR(TODAY()-WEEKDAY(TODAY()-1)+4),1,1)-2),7)+(7*IF(MOD((DATE(YEAR(TODAY()-WEEKDAY(TODAY()-1)+4),1,1)-2),7)&gt;3,1,0))+7) )-_xlfn.ISOWEEKNUM(NOW())</f>
        <v>-23</v>
      </c>
      <c r="J330" s="345"/>
    </row>
    <row r="331" spans="1:10">
      <c r="A331" s="6" t="s">
        <v>7</v>
      </c>
      <c r="B331" s="6" t="str">
        <f>VLOOKUP(A331,Fleet[],2,FALSE)</f>
        <v>Intel</v>
      </c>
      <c r="C331" s="160">
        <v>45749</v>
      </c>
      <c r="D331" s="346">
        <f>YEAR(DATE(YEAR(Runhours_Table[[#This Row],[Date]]-WEEKDAY(Runhours_Table[[#This Row],[Date]]-1)+4),1,1)-MOD((DATE(YEAR(Runhours_Table[[#This Row],[Date]]-WEEKDAY(Runhours_Table[[#This Row],[Date]]-1)+4),1,1)-2),7)+(7*IF(MOD((DATE(YEAR(Runhours_Table[[#This Row],[Date]]-WEEKDAY(Runhours_Table[[#This Row],[Date]]-1)+4),1,1)-2),7)&gt;3,1,0))+7)</f>
        <v>2025</v>
      </c>
      <c r="E331" s="164">
        <f>_xlfn.ISOWEEKNUM(Runhours_Table[[#This Row],[Date]])</f>
        <v>14</v>
      </c>
      <c r="F331" s="160" t="str">
        <f>RIGHT(YEAR(Runhours_Table[[#This Row],[Date]]),2)&amp;TEXT(_xlfn.ISOWEEKNUM(Runhours_Table[[#This Row],[Date]]),"00")</f>
        <v>2514</v>
      </c>
      <c r="G331" s="38"/>
      <c r="H331" s="38">
        <v>0.15</v>
      </c>
      <c r="I331" s="38">
        <f ca="1">_xlfn.ISOWEEKNUM(Runhours_Table[[#This Row],[Date]])+52*(Runhours_Table[[#This Row],[Year]]-YEAR(DATE(YEAR(TODAY()-WEEKDAY(TODAY()-1)+4),1,1)-MOD((DATE(YEAR(TODAY()-WEEKDAY(TODAY()-1)+4),1,1)-2),7)+(7*IF(MOD((DATE(YEAR(TODAY()-WEEKDAY(TODAY()-1)+4),1,1)-2),7)&gt;3,1,0))+7) )-_xlfn.ISOWEEKNUM(NOW())</f>
        <v>-23</v>
      </c>
      <c r="J331" s="345"/>
    </row>
    <row r="332" spans="1:10">
      <c r="A332" s="6" t="s">
        <v>4</v>
      </c>
      <c r="B332" s="6" t="str">
        <f>VLOOKUP(A332,Fleet[],2,FALSE)</f>
        <v>Intel</v>
      </c>
      <c r="C332" s="160">
        <v>45750</v>
      </c>
      <c r="D332" s="346">
        <f>YEAR(DATE(YEAR(Runhours_Table[[#This Row],[Date]]-WEEKDAY(Runhours_Table[[#This Row],[Date]]-1)+4),1,1)-MOD((DATE(YEAR(Runhours_Table[[#This Row],[Date]]-WEEKDAY(Runhours_Table[[#This Row],[Date]]-1)+4),1,1)-2),7)+(7*IF(MOD((DATE(YEAR(Runhours_Table[[#This Row],[Date]]-WEEKDAY(Runhours_Table[[#This Row],[Date]]-1)+4),1,1)-2),7)&gt;3,1,0))+7)</f>
        <v>2025</v>
      </c>
      <c r="E332" s="164">
        <f>_xlfn.ISOWEEKNUM(Runhours_Table[[#This Row],[Date]])</f>
        <v>14</v>
      </c>
      <c r="F332" s="160" t="str">
        <f>RIGHT(YEAR(Runhours_Table[[#This Row],[Date]]),2)&amp;TEXT(_xlfn.ISOWEEKNUM(Runhours_Table[[#This Row],[Date]]),"00")</f>
        <v>2514</v>
      </c>
      <c r="G332" s="38">
        <v>17.726944</v>
      </c>
      <c r="H332" s="38">
        <v>20.7</v>
      </c>
      <c r="I332" s="38">
        <f ca="1">_xlfn.ISOWEEKNUM(Runhours_Table[[#This Row],[Date]])+52*(Runhours_Table[[#This Row],[Year]]-YEAR(DATE(YEAR(TODAY()-WEEKDAY(TODAY()-1)+4),1,1)-MOD((DATE(YEAR(TODAY()-WEEKDAY(TODAY()-1)+4),1,1)-2),7)+(7*IF(MOD((DATE(YEAR(TODAY()-WEEKDAY(TODAY()-1)+4),1,1)-2),7)&gt;3,1,0))+7) )-_xlfn.ISOWEEKNUM(NOW())</f>
        <v>-23</v>
      </c>
      <c r="J332" s="345"/>
    </row>
    <row r="333" spans="1:10">
      <c r="A333" s="6" t="s">
        <v>7</v>
      </c>
      <c r="B333" s="6" t="str">
        <f>VLOOKUP(A333,Fleet[],2,FALSE)</f>
        <v>Intel</v>
      </c>
      <c r="C333" s="160">
        <v>45750</v>
      </c>
      <c r="D333" s="346">
        <f>YEAR(DATE(YEAR(Runhours_Table[[#This Row],[Date]]-WEEKDAY(Runhours_Table[[#This Row],[Date]]-1)+4),1,1)-MOD((DATE(YEAR(Runhours_Table[[#This Row],[Date]]-WEEKDAY(Runhours_Table[[#This Row],[Date]]-1)+4),1,1)-2),7)+(7*IF(MOD((DATE(YEAR(Runhours_Table[[#This Row],[Date]]-WEEKDAY(Runhours_Table[[#This Row],[Date]]-1)+4),1,1)-2),7)&gt;3,1,0))+7)</f>
        <v>2025</v>
      </c>
      <c r="E333" s="164">
        <f>_xlfn.ISOWEEKNUM(Runhours_Table[[#This Row],[Date]])</f>
        <v>14</v>
      </c>
      <c r="F333" s="160" t="str">
        <f>RIGHT(YEAR(Runhours_Table[[#This Row],[Date]]),2)&amp;TEXT(_xlfn.ISOWEEKNUM(Runhours_Table[[#This Row],[Date]]),"00")</f>
        <v>2514</v>
      </c>
      <c r="G333" s="38">
        <v>15.693333000000001</v>
      </c>
      <c r="H333" s="38">
        <v>20.816666000000001</v>
      </c>
      <c r="I333" s="38">
        <f ca="1">_xlfn.ISOWEEKNUM(Runhours_Table[[#This Row],[Date]])+52*(Runhours_Table[[#This Row],[Year]]-YEAR(DATE(YEAR(TODAY()-WEEKDAY(TODAY()-1)+4),1,1)-MOD((DATE(YEAR(TODAY()-WEEKDAY(TODAY()-1)+4),1,1)-2),7)+(7*IF(MOD((DATE(YEAR(TODAY()-WEEKDAY(TODAY()-1)+4),1,1)-2),7)&gt;3,1,0))+7) )-_xlfn.ISOWEEKNUM(NOW())</f>
        <v>-23</v>
      </c>
      <c r="J333" s="345"/>
    </row>
    <row r="334" spans="1:10">
      <c r="A334" s="6" t="s">
        <v>4</v>
      </c>
      <c r="B334" s="6" t="str">
        <f>VLOOKUP(A334,Fleet[],2,FALSE)</f>
        <v>Intel</v>
      </c>
      <c r="C334" s="160">
        <v>45751</v>
      </c>
      <c r="D334" s="346">
        <f>YEAR(DATE(YEAR(Runhours_Table[[#This Row],[Date]]-WEEKDAY(Runhours_Table[[#This Row],[Date]]-1)+4),1,1)-MOD((DATE(YEAR(Runhours_Table[[#This Row],[Date]]-WEEKDAY(Runhours_Table[[#This Row],[Date]]-1)+4),1,1)-2),7)+(7*IF(MOD((DATE(YEAR(Runhours_Table[[#This Row],[Date]]-WEEKDAY(Runhours_Table[[#This Row],[Date]]-1)+4),1,1)-2),7)&gt;3,1,0))+7)</f>
        <v>2025</v>
      </c>
      <c r="E334" s="164">
        <f>_xlfn.ISOWEEKNUM(Runhours_Table[[#This Row],[Date]])</f>
        <v>14</v>
      </c>
      <c r="F334" s="160" t="str">
        <f>RIGHT(YEAR(Runhours_Table[[#This Row],[Date]]),2)&amp;TEXT(_xlfn.ISOWEEKNUM(Runhours_Table[[#This Row],[Date]]),"00")</f>
        <v>2514</v>
      </c>
      <c r="G334" s="38">
        <v>9.0119439999999997</v>
      </c>
      <c r="H334" s="38">
        <v>14.083333</v>
      </c>
      <c r="I334" s="38">
        <f ca="1">_xlfn.ISOWEEKNUM(Runhours_Table[[#This Row],[Date]])+52*(Runhours_Table[[#This Row],[Year]]-YEAR(DATE(YEAR(TODAY()-WEEKDAY(TODAY()-1)+4),1,1)-MOD((DATE(YEAR(TODAY()-WEEKDAY(TODAY()-1)+4),1,1)-2),7)+(7*IF(MOD((DATE(YEAR(TODAY()-WEEKDAY(TODAY()-1)+4),1,1)-2),7)&gt;3,1,0))+7) )-_xlfn.ISOWEEKNUM(NOW())</f>
        <v>-23</v>
      </c>
      <c r="J334" s="345"/>
    </row>
    <row r="335" spans="1:10">
      <c r="A335" s="6" t="s">
        <v>7</v>
      </c>
      <c r="B335" s="6" t="str">
        <f>VLOOKUP(A335,Fleet[],2,FALSE)</f>
        <v>Intel</v>
      </c>
      <c r="C335" s="160">
        <v>45751</v>
      </c>
      <c r="D335" s="346">
        <f>YEAR(DATE(YEAR(Runhours_Table[[#This Row],[Date]]-WEEKDAY(Runhours_Table[[#This Row],[Date]]-1)+4),1,1)-MOD((DATE(YEAR(Runhours_Table[[#This Row],[Date]]-WEEKDAY(Runhours_Table[[#This Row],[Date]]-1)+4),1,1)-2),7)+(7*IF(MOD((DATE(YEAR(Runhours_Table[[#This Row],[Date]]-WEEKDAY(Runhours_Table[[#This Row],[Date]]-1)+4),1,1)-2),7)&gt;3,1,0))+7)</f>
        <v>2025</v>
      </c>
      <c r="E335" s="164">
        <f>_xlfn.ISOWEEKNUM(Runhours_Table[[#This Row],[Date]])</f>
        <v>14</v>
      </c>
      <c r="F335" s="160" t="str">
        <f>RIGHT(YEAR(Runhours_Table[[#This Row],[Date]]),2)&amp;TEXT(_xlfn.ISOWEEKNUM(Runhours_Table[[#This Row],[Date]]),"00")</f>
        <v>2514</v>
      </c>
      <c r="G335" s="38">
        <v>17.393611</v>
      </c>
      <c r="H335" s="38">
        <v>20.466667000000001</v>
      </c>
      <c r="I335" s="38">
        <f ca="1">_xlfn.ISOWEEKNUM(Runhours_Table[[#This Row],[Date]])+52*(Runhours_Table[[#This Row],[Year]]-YEAR(DATE(YEAR(TODAY()-WEEKDAY(TODAY()-1)+4),1,1)-MOD((DATE(YEAR(TODAY()-WEEKDAY(TODAY()-1)+4),1,1)-2),7)+(7*IF(MOD((DATE(YEAR(TODAY()-WEEKDAY(TODAY()-1)+4),1,1)-2),7)&gt;3,1,0))+7) )-_xlfn.ISOWEEKNUM(NOW())</f>
        <v>-23</v>
      </c>
      <c r="J335" s="345"/>
    </row>
    <row r="336" spans="1:10">
      <c r="A336" s="6" t="s">
        <v>4</v>
      </c>
      <c r="B336" s="6" t="str">
        <f>VLOOKUP(A336,Fleet[],2,FALSE)</f>
        <v>Intel</v>
      </c>
      <c r="C336" s="160">
        <v>45752</v>
      </c>
      <c r="D336" s="346">
        <f>YEAR(DATE(YEAR(Runhours_Table[[#This Row],[Date]]-WEEKDAY(Runhours_Table[[#This Row],[Date]]-1)+4),1,1)-MOD((DATE(YEAR(Runhours_Table[[#This Row],[Date]]-WEEKDAY(Runhours_Table[[#This Row],[Date]]-1)+4),1,1)-2),7)+(7*IF(MOD((DATE(YEAR(Runhours_Table[[#This Row],[Date]]-WEEKDAY(Runhours_Table[[#This Row],[Date]]-1)+4),1,1)-2),7)&gt;3,1,0))+7)</f>
        <v>2025</v>
      </c>
      <c r="E336" s="164">
        <f>_xlfn.ISOWEEKNUM(Runhours_Table[[#This Row],[Date]])</f>
        <v>14</v>
      </c>
      <c r="F336" s="160" t="str">
        <f>RIGHT(YEAR(Runhours_Table[[#This Row],[Date]]),2)&amp;TEXT(_xlfn.ISOWEEKNUM(Runhours_Table[[#This Row],[Date]]),"00")</f>
        <v>2514</v>
      </c>
      <c r="G336" s="38">
        <v>6.6355560000000002</v>
      </c>
      <c r="H336" s="38">
        <v>17.033334</v>
      </c>
      <c r="I336" s="38">
        <f ca="1">_xlfn.ISOWEEKNUM(Runhours_Table[[#This Row],[Date]])+52*(Runhours_Table[[#This Row],[Year]]-YEAR(DATE(YEAR(TODAY()-WEEKDAY(TODAY()-1)+4),1,1)-MOD((DATE(YEAR(TODAY()-WEEKDAY(TODAY()-1)+4),1,1)-2),7)+(7*IF(MOD((DATE(YEAR(TODAY()-WEEKDAY(TODAY()-1)+4),1,1)-2),7)&gt;3,1,0))+7) )-_xlfn.ISOWEEKNUM(NOW())</f>
        <v>-23</v>
      </c>
      <c r="J336" s="345"/>
    </row>
    <row r="337" spans="1:10">
      <c r="A337" s="6" t="s">
        <v>7</v>
      </c>
      <c r="B337" s="6" t="str">
        <f>VLOOKUP(A337,Fleet[],2,FALSE)</f>
        <v>Intel</v>
      </c>
      <c r="C337" s="160">
        <v>45752</v>
      </c>
      <c r="D337" s="346">
        <f>YEAR(DATE(YEAR(Runhours_Table[[#This Row],[Date]]-WEEKDAY(Runhours_Table[[#This Row],[Date]]-1)+4),1,1)-MOD((DATE(YEAR(Runhours_Table[[#This Row],[Date]]-WEEKDAY(Runhours_Table[[#This Row],[Date]]-1)+4),1,1)-2),7)+(7*IF(MOD((DATE(YEAR(Runhours_Table[[#This Row],[Date]]-WEEKDAY(Runhours_Table[[#This Row],[Date]]-1)+4),1,1)-2),7)&gt;3,1,0))+7)</f>
        <v>2025</v>
      </c>
      <c r="E337" s="164">
        <f>_xlfn.ISOWEEKNUM(Runhours_Table[[#This Row],[Date]])</f>
        <v>14</v>
      </c>
      <c r="F337" s="160" t="str">
        <f>RIGHT(YEAR(Runhours_Table[[#This Row],[Date]]),2)&amp;TEXT(_xlfn.ISOWEEKNUM(Runhours_Table[[#This Row],[Date]]),"00")</f>
        <v>2514</v>
      </c>
      <c r="G337" s="38">
        <v>5.6286110000000003</v>
      </c>
      <c r="H337" s="38">
        <v>8.0833329999999997</v>
      </c>
      <c r="I337" s="38">
        <f ca="1">_xlfn.ISOWEEKNUM(Runhours_Table[[#This Row],[Date]])+52*(Runhours_Table[[#This Row],[Year]]-YEAR(DATE(YEAR(TODAY()-WEEKDAY(TODAY()-1)+4),1,1)-MOD((DATE(YEAR(TODAY()-WEEKDAY(TODAY()-1)+4),1,1)-2),7)+(7*IF(MOD((DATE(YEAR(TODAY()-WEEKDAY(TODAY()-1)+4),1,1)-2),7)&gt;3,1,0))+7) )-_xlfn.ISOWEEKNUM(NOW())</f>
        <v>-23</v>
      </c>
      <c r="J337" s="345"/>
    </row>
    <row r="338" spans="1:10">
      <c r="A338" s="6" t="s">
        <v>4</v>
      </c>
      <c r="B338" s="6" t="str">
        <f>VLOOKUP(A338,Fleet[],2,FALSE)</f>
        <v>Intel</v>
      </c>
      <c r="C338" s="160">
        <v>45753</v>
      </c>
      <c r="D338" s="346">
        <f>YEAR(DATE(YEAR(Runhours_Table[[#This Row],[Date]]-WEEKDAY(Runhours_Table[[#This Row],[Date]]-1)+4),1,1)-MOD((DATE(YEAR(Runhours_Table[[#This Row],[Date]]-WEEKDAY(Runhours_Table[[#This Row],[Date]]-1)+4),1,1)-2),7)+(7*IF(MOD((DATE(YEAR(Runhours_Table[[#This Row],[Date]]-WEEKDAY(Runhours_Table[[#This Row],[Date]]-1)+4),1,1)-2),7)&gt;3,1,0))+7)</f>
        <v>2025</v>
      </c>
      <c r="E338" s="164">
        <f>_xlfn.ISOWEEKNUM(Runhours_Table[[#This Row],[Date]])</f>
        <v>14</v>
      </c>
      <c r="F338" s="160" t="str">
        <f>RIGHT(YEAR(Runhours_Table[[#This Row],[Date]]),2)&amp;TEXT(_xlfn.ISOWEEKNUM(Runhours_Table[[#This Row],[Date]]),"00")</f>
        <v>2514</v>
      </c>
      <c r="G338" s="38">
        <v>7.0041669999999998</v>
      </c>
      <c r="H338" s="38">
        <v>15.233333999999999</v>
      </c>
      <c r="I338" s="38">
        <f ca="1">_xlfn.ISOWEEKNUM(Runhours_Table[[#This Row],[Date]])+52*(Runhours_Table[[#This Row],[Year]]-YEAR(DATE(YEAR(TODAY()-WEEKDAY(TODAY()-1)+4),1,1)-MOD((DATE(YEAR(TODAY()-WEEKDAY(TODAY()-1)+4),1,1)-2),7)+(7*IF(MOD((DATE(YEAR(TODAY()-WEEKDAY(TODAY()-1)+4),1,1)-2),7)&gt;3,1,0))+7) )-_xlfn.ISOWEEKNUM(NOW())</f>
        <v>-23</v>
      </c>
      <c r="J338" s="345"/>
    </row>
    <row r="339" spans="1:10">
      <c r="A339" s="6" t="s">
        <v>7</v>
      </c>
      <c r="B339" s="6" t="str">
        <f>VLOOKUP(A339,Fleet[],2,FALSE)</f>
        <v>Intel</v>
      </c>
      <c r="C339" s="160">
        <v>45753</v>
      </c>
      <c r="D339" s="346">
        <f>YEAR(DATE(YEAR(Runhours_Table[[#This Row],[Date]]-WEEKDAY(Runhours_Table[[#This Row],[Date]]-1)+4),1,1)-MOD((DATE(YEAR(Runhours_Table[[#This Row],[Date]]-WEEKDAY(Runhours_Table[[#This Row],[Date]]-1)+4),1,1)-2),7)+(7*IF(MOD((DATE(YEAR(Runhours_Table[[#This Row],[Date]]-WEEKDAY(Runhours_Table[[#This Row],[Date]]-1)+4),1,1)-2),7)&gt;3,1,0))+7)</f>
        <v>2025</v>
      </c>
      <c r="E339" s="164">
        <f>_xlfn.ISOWEEKNUM(Runhours_Table[[#This Row],[Date]])</f>
        <v>14</v>
      </c>
      <c r="F339" s="160" t="str">
        <f>RIGHT(YEAR(Runhours_Table[[#This Row],[Date]]),2)&amp;TEXT(_xlfn.ISOWEEKNUM(Runhours_Table[[#This Row],[Date]]),"00")</f>
        <v>2514</v>
      </c>
      <c r="G339" s="38"/>
      <c r="H339" s="38">
        <v>0</v>
      </c>
      <c r="I339" s="38">
        <f ca="1">_xlfn.ISOWEEKNUM(Runhours_Table[[#This Row],[Date]])+52*(Runhours_Table[[#This Row],[Year]]-YEAR(DATE(YEAR(TODAY()-WEEKDAY(TODAY()-1)+4),1,1)-MOD((DATE(YEAR(TODAY()-WEEKDAY(TODAY()-1)+4),1,1)-2),7)+(7*IF(MOD((DATE(YEAR(TODAY()-WEEKDAY(TODAY()-1)+4),1,1)-2),7)&gt;3,1,0))+7) )-_xlfn.ISOWEEKNUM(NOW())</f>
        <v>-23</v>
      </c>
      <c r="J339" s="345"/>
    </row>
    <row r="340" spans="1:10">
      <c r="A340" s="6" t="s">
        <v>4</v>
      </c>
      <c r="B340" s="6" t="str">
        <f>VLOOKUP(A340,Fleet[],2,FALSE)</f>
        <v>Intel</v>
      </c>
      <c r="C340" s="160">
        <v>45754</v>
      </c>
      <c r="D340" s="346">
        <f>YEAR(DATE(YEAR(Runhours_Table[[#This Row],[Date]]-WEEKDAY(Runhours_Table[[#This Row],[Date]]-1)+4),1,1)-MOD((DATE(YEAR(Runhours_Table[[#This Row],[Date]]-WEEKDAY(Runhours_Table[[#This Row],[Date]]-1)+4),1,1)-2),7)+(7*IF(MOD((DATE(YEAR(Runhours_Table[[#This Row],[Date]]-WEEKDAY(Runhours_Table[[#This Row],[Date]]-1)+4),1,1)-2),7)&gt;3,1,0))+7)</f>
        <v>2025</v>
      </c>
      <c r="E340" s="164">
        <f>_xlfn.ISOWEEKNUM(Runhours_Table[[#This Row],[Date]])</f>
        <v>15</v>
      </c>
      <c r="F340" s="160" t="str">
        <f>RIGHT(YEAR(Runhours_Table[[#This Row],[Date]]),2)&amp;TEXT(_xlfn.ISOWEEKNUM(Runhours_Table[[#This Row],[Date]]),"00")</f>
        <v>2515</v>
      </c>
      <c r="G340" s="38">
        <v>13.551944000000001</v>
      </c>
      <c r="H340" s="38">
        <v>19.266666000000001</v>
      </c>
      <c r="I340" s="38">
        <f ca="1">_xlfn.ISOWEEKNUM(Runhours_Table[[#This Row],[Date]])+52*(Runhours_Table[[#This Row],[Year]]-YEAR(DATE(YEAR(TODAY()-WEEKDAY(TODAY()-1)+4),1,1)-MOD((DATE(YEAR(TODAY()-WEEKDAY(TODAY()-1)+4),1,1)-2),7)+(7*IF(MOD((DATE(YEAR(TODAY()-WEEKDAY(TODAY()-1)+4),1,1)-2),7)&gt;3,1,0))+7) )-_xlfn.ISOWEEKNUM(NOW())</f>
        <v>-22</v>
      </c>
      <c r="J340" s="345"/>
    </row>
    <row r="341" spans="1:10">
      <c r="A341" s="6" t="s">
        <v>7</v>
      </c>
      <c r="B341" s="6" t="str">
        <f>VLOOKUP(A341,Fleet[],2,FALSE)</f>
        <v>Intel</v>
      </c>
      <c r="C341" s="160">
        <v>45754</v>
      </c>
      <c r="D341" s="346">
        <f>YEAR(DATE(YEAR(Runhours_Table[[#This Row],[Date]]-WEEKDAY(Runhours_Table[[#This Row],[Date]]-1)+4),1,1)-MOD((DATE(YEAR(Runhours_Table[[#This Row],[Date]]-WEEKDAY(Runhours_Table[[#This Row],[Date]]-1)+4),1,1)-2),7)+(7*IF(MOD((DATE(YEAR(Runhours_Table[[#This Row],[Date]]-WEEKDAY(Runhours_Table[[#This Row],[Date]]-1)+4),1,1)-2),7)&gt;3,1,0))+7)</f>
        <v>2025</v>
      </c>
      <c r="E341" s="164">
        <f>_xlfn.ISOWEEKNUM(Runhours_Table[[#This Row],[Date]])</f>
        <v>15</v>
      </c>
      <c r="F341" s="160" t="str">
        <f>RIGHT(YEAR(Runhours_Table[[#This Row],[Date]]),2)&amp;TEXT(_xlfn.ISOWEEKNUM(Runhours_Table[[#This Row],[Date]]),"00")</f>
        <v>2515</v>
      </c>
      <c r="G341" s="38"/>
      <c r="H341" s="38">
        <v>6.05</v>
      </c>
      <c r="I341" s="38">
        <f ca="1">_xlfn.ISOWEEKNUM(Runhours_Table[[#This Row],[Date]])+52*(Runhours_Table[[#This Row],[Year]]-YEAR(DATE(YEAR(TODAY()-WEEKDAY(TODAY()-1)+4),1,1)-MOD((DATE(YEAR(TODAY()-WEEKDAY(TODAY()-1)+4),1,1)-2),7)+(7*IF(MOD((DATE(YEAR(TODAY()-WEEKDAY(TODAY()-1)+4),1,1)-2),7)&gt;3,1,0))+7) )-_xlfn.ISOWEEKNUM(NOW())</f>
        <v>-22</v>
      </c>
      <c r="J341" s="345"/>
    </row>
    <row r="342" spans="1:10">
      <c r="A342" s="6" t="s">
        <v>4</v>
      </c>
      <c r="B342" s="6" t="str">
        <f>VLOOKUP(A342,Fleet[],2,FALSE)</f>
        <v>Intel</v>
      </c>
      <c r="C342" s="160">
        <v>45755</v>
      </c>
      <c r="D342" s="346">
        <f>YEAR(DATE(YEAR(Runhours_Table[[#This Row],[Date]]-WEEKDAY(Runhours_Table[[#This Row],[Date]]-1)+4),1,1)-MOD((DATE(YEAR(Runhours_Table[[#This Row],[Date]]-WEEKDAY(Runhours_Table[[#This Row],[Date]]-1)+4),1,1)-2),7)+(7*IF(MOD((DATE(YEAR(Runhours_Table[[#This Row],[Date]]-WEEKDAY(Runhours_Table[[#This Row],[Date]]-1)+4),1,1)-2),7)&gt;3,1,0))+7)</f>
        <v>2025</v>
      </c>
      <c r="E342" s="164">
        <f>_xlfn.ISOWEEKNUM(Runhours_Table[[#This Row],[Date]])</f>
        <v>15</v>
      </c>
      <c r="F342" s="160" t="str">
        <f>RIGHT(YEAR(Runhours_Table[[#This Row],[Date]]),2)&amp;TEXT(_xlfn.ISOWEEKNUM(Runhours_Table[[#This Row],[Date]]),"00")</f>
        <v>2515</v>
      </c>
      <c r="G342" s="38">
        <v>8.1050000000000004</v>
      </c>
      <c r="H342" s="38">
        <v>15.616667</v>
      </c>
      <c r="I342" s="38">
        <f ca="1">_xlfn.ISOWEEKNUM(Runhours_Table[[#This Row],[Date]])+52*(Runhours_Table[[#This Row],[Year]]-YEAR(DATE(YEAR(TODAY()-WEEKDAY(TODAY()-1)+4),1,1)-MOD((DATE(YEAR(TODAY()-WEEKDAY(TODAY()-1)+4),1,1)-2),7)+(7*IF(MOD((DATE(YEAR(TODAY()-WEEKDAY(TODAY()-1)+4),1,1)-2),7)&gt;3,1,0))+7) )-_xlfn.ISOWEEKNUM(NOW())</f>
        <v>-22</v>
      </c>
      <c r="J342" s="345"/>
    </row>
    <row r="343" spans="1:10">
      <c r="A343" s="6" t="s">
        <v>7</v>
      </c>
      <c r="B343" s="6" t="str">
        <f>VLOOKUP(A343,Fleet[],2,FALSE)</f>
        <v>Intel</v>
      </c>
      <c r="C343" s="160">
        <v>45755</v>
      </c>
      <c r="D343" s="346">
        <f>YEAR(DATE(YEAR(Runhours_Table[[#This Row],[Date]]-WEEKDAY(Runhours_Table[[#This Row],[Date]]-1)+4),1,1)-MOD((DATE(YEAR(Runhours_Table[[#This Row],[Date]]-WEEKDAY(Runhours_Table[[#This Row],[Date]]-1)+4),1,1)-2),7)+(7*IF(MOD((DATE(YEAR(Runhours_Table[[#This Row],[Date]]-WEEKDAY(Runhours_Table[[#This Row],[Date]]-1)+4),1,1)-2),7)&gt;3,1,0))+7)</f>
        <v>2025</v>
      </c>
      <c r="E343" s="164">
        <f>_xlfn.ISOWEEKNUM(Runhours_Table[[#This Row],[Date]])</f>
        <v>15</v>
      </c>
      <c r="F343" s="160" t="str">
        <f>RIGHT(YEAR(Runhours_Table[[#This Row],[Date]]),2)&amp;TEXT(_xlfn.ISOWEEKNUM(Runhours_Table[[#This Row],[Date]]),"00")</f>
        <v>2515</v>
      </c>
      <c r="G343" s="38">
        <v>3.782222</v>
      </c>
      <c r="H343" s="38">
        <v>14.316666000000001</v>
      </c>
      <c r="I343" s="38">
        <f ca="1">_xlfn.ISOWEEKNUM(Runhours_Table[[#This Row],[Date]])+52*(Runhours_Table[[#This Row],[Year]]-YEAR(DATE(YEAR(TODAY()-WEEKDAY(TODAY()-1)+4),1,1)-MOD((DATE(YEAR(TODAY()-WEEKDAY(TODAY()-1)+4),1,1)-2),7)+(7*IF(MOD((DATE(YEAR(TODAY()-WEEKDAY(TODAY()-1)+4),1,1)-2),7)&gt;3,1,0))+7) )-_xlfn.ISOWEEKNUM(NOW())</f>
        <v>-22</v>
      </c>
      <c r="J343" s="345"/>
    </row>
    <row r="344" spans="1:10">
      <c r="A344" s="6" t="s">
        <v>4</v>
      </c>
      <c r="B344" s="6" t="str">
        <f>VLOOKUP(A344,Fleet[],2,FALSE)</f>
        <v>Intel</v>
      </c>
      <c r="C344" s="160">
        <v>45756</v>
      </c>
      <c r="D344" s="346">
        <f>YEAR(DATE(YEAR(Runhours_Table[[#This Row],[Date]]-WEEKDAY(Runhours_Table[[#This Row],[Date]]-1)+4),1,1)-MOD((DATE(YEAR(Runhours_Table[[#This Row],[Date]]-WEEKDAY(Runhours_Table[[#This Row],[Date]]-1)+4),1,1)-2),7)+(7*IF(MOD((DATE(YEAR(Runhours_Table[[#This Row],[Date]]-WEEKDAY(Runhours_Table[[#This Row],[Date]]-1)+4),1,1)-2),7)&gt;3,1,0))+7)</f>
        <v>2025</v>
      </c>
      <c r="E344" s="164">
        <f>_xlfn.ISOWEEKNUM(Runhours_Table[[#This Row],[Date]])</f>
        <v>15</v>
      </c>
      <c r="F344" s="160" t="str">
        <f>RIGHT(YEAR(Runhours_Table[[#This Row],[Date]]),2)&amp;TEXT(_xlfn.ISOWEEKNUM(Runhours_Table[[#This Row],[Date]]),"00")</f>
        <v>2515</v>
      </c>
      <c r="G344" s="38">
        <v>11.946111</v>
      </c>
      <c r="H344" s="38">
        <v>14.65</v>
      </c>
      <c r="I344" s="38">
        <f ca="1">_xlfn.ISOWEEKNUM(Runhours_Table[[#This Row],[Date]])+52*(Runhours_Table[[#This Row],[Year]]-YEAR(DATE(YEAR(TODAY()-WEEKDAY(TODAY()-1)+4),1,1)-MOD((DATE(YEAR(TODAY()-WEEKDAY(TODAY()-1)+4),1,1)-2),7)+(7*IF(MOD((DATE(YEAR(TODAY()-WEEKDAY(TODAY()-1)+4),1,1)-2),7)&gt;3,1,0))+7) )-_xlfn.ISOWEEKNUM(NOW())</f>
        <v>-22</v>
      </c>
      <c r="J344" s="345"/>
    </row>
    <row r="345" spans="1:10">
      <c r="A345" s="6" t="s">
        <v>7</v>
      </c>
      <c r="B345" s="6" t="str">
        <f>VLOOKUP(A345,Fleet[],2,FALSE)</f>
        <v>Intel</v>
      </c>
      <c r="C345" s="160">
        <v>45756</v>
      </c>
      <c r="D345" s="346">
        <f>YEAR(DATE(YEAR(Runhours_Table[[#This Row],[Date]]-WEEKDAY(Runhours_Table[[#This Row],[Date]]-1)+4),1,1)-MOD((DATE(YEAR(Runhours_Table[[#This Row],[Date]]-WEEKDAY(Runhours_Table[[#This Row],[Date]]-1)+4),1,1)-2),7)+(7*IF(MOD((DATE(YEAR(Runhours_Table[[#This Row],[Date]]-WEEKDAY(Runhours_Table[[#This Row],[Date]]-1)+4),1,1)-2),7)&gt;3,1,0))+7)</f>
        <v>2025</v>
      </c>
      <c r="E345" s="164">
        <f>_xlfn.ISOWEEKNUM(Runhours_Table[[#This Row],[Date]])</f>
        <v>15</v>
      </c>
      <c r="F345" s="160" t="str">
        <f>RIGHT(YEAR(Runhours_Table[[#This Row],[Date]]),2)&amp;TEXT(_xlfn.ISOWEEKNUM(Runhours_Table[[#This Row],[Date]]),"00")</f>
        <v>2515</v>
      </c>
      <c r="G345" s="38">
        <v>13.469443999999999</v>
      </c>
      <c r="H345" s="38">
        <v>19.399999999999999</v>
      </c>
      <c r="I345" s="38">
        <f ca="1">_xlfn.ISOWEEKNUM(Runhours_Table[[#This Row],[Date]])+52*(Runhours_Table[[#This Row],[Year]]-YEAR(DATE(YEAR(TODAY()-WEEKDAY(TODAY()-1)+4),1,1)-MOD((DATE(YEAR(TODAY()-WEEKDAY(TODAY()-1)+4),1,1)-2),7)+(7*IF(MOD((DATE(YEAR(TODAY()-WEEKDAY(TODAY()-1)+4),1,1)-2),7)&gt;3,1,0))+7) )-_xlfn.ISOWEEKNUM(NOW())</f>
        <v>-22</v>
      </c>
      <c r="J345" s="345"/>
    </row>
    <row r="346" spans="1:10">
      <c r="A346" s="6" t="s">
        <v>4</v>
      </c>
      <c r="B346" s="6" t="str">
        <f>VLOOKUP(A346,Fleet[],2,FALSE)</f>
        <v>Intel</v>
      </c>
      <c r="C346" s="160">
        <v>45757</v>
      </c>
      <c r="D346" s="346">
        <f>YEAR(DATE(YEAR(Runhours_Table[[#This Row],[Date]]-WEEKDAY(Runhours_Table[[#This Row],[Date]]-1)+4),1,1)-MOD((DATE(YEAR(Runhours_Table[[#This Row],[Date]]-WEEKDAY(Runhours_Table[[#This Row],[Date]]-1)+4),1,1)-2),7)+(7*IF(MOD((DATE(YEAR(Runhours_Table[[#This Row],[Date]]-WEEKDAY(Runhours_Table[[#This Row],[Date]]-1)+4),1,1)-2),7)&gt;3,1,0))+7)</f>
        <v>2025</v>
      </c>
      <c r="E346" s="164">
        <f>_xlfn.ISOWEEKNUM(Runhours_Table[[#This Row],[Date]])</f>
        <v>15</v>
      </c>
      <c r="F346" s="160" t="str">
        <f>RIGHT(YEAR(Runhours_Table[[#This Row],[Date]]),2)&amp;TEXT(_xlfn.ISOWEEKNUM(Runhours_Table[[#This Row],[Date]]),"00")</f>
        <v>2515</v>
      </c>
      <c r="G346" s="38">
        <v>7.226667</v>
      </c>
      <c r="H346" s="38">
        <v>21.216667000000001</v>
      </c>
      <c r="I346" s="38">
        <f ca="1">_xlfn.ISOWEEKNUM(Runhours_Table[[#This Row],[Date]])+52*(Runhours_Table[[#This Row],[Year]]-YEAR(DATE(YEAR(TODAY()-WEEKDAY(TODAY()-1)+4),1,1)-MOD((DATE(YEAR(TODAY()-WEEKDAY(TODAY()-1)+4),1,1)-2),7)+(7*IF(MOD((DATE(YEAR(TODAY()-WEEKDAY(TODAY()-1)+4),1,1)-2),7)&gt;3,1,0))+7) )-_xlfn.ISOWEEKNUM(NOW())</f>
        <v>-22</v>
      </c>
      <c r="J346" s="345"/>
    </row>
    <row r="347" spans="1:10">
      <c r="A347" s="6" t="s">
        <v>7</v>
      </c>
      <c r="B347" s="6" t="str">
        <f>VLOOKUP(A347,Fleet[],2,FALSE)</f>
        <v>Intel</v>
      </c>
      <c r="C347" s="160">
        <v>45757</v>
      </c>
      <c r="D347" s="346">
        <f>YEAR(DATE(YEAR(Runhours_Table[[#This Row],[Date]]-WEEKDAY(Runhours_Table[[#This Row],[Date]]-1)+4),1,1)-MOD((DATE(YEAR(Runhours_Table[[#This Row],[Date]]-WEEKDAY(Runhours_Table[[#This Row],[Date]]-1)+4),1,1)-2),7)+(7*IF(MOD((DATE(YEAR(Runhours_Table[[#This Row],[Date]]-WEEKDAY(Runhours_Table[[#This Row],[Date]]-1)+4),1,1)-2),7)&gt;3,1,0))+7)</f>
        <v>2025</v>
      </c>
      <c r="E347" s="164">
        <f>_xlfn.ISOWEEKNUM(Runhours_Table[[#This Row],[Date]])</f>
        <v>15</v>
      </c>
      <c r="F347" s="160" t="str">
        <f>RIGHT(YEAR(Runhours_Table[[#This Row],[Date]]),2)&amp;TEXT(_xlfn.ISOWEEKNUM(Runhours_Table[[#This Row],[Date]]),"00")</f>
        <v>2515</v>
      </c>
      <c r="G347" s="38">
        <v>0.72416700000000001</v>
      </c>
      <c r="H347" s="38">
        <v>7.5</v>
      </c>
      <c r="I347" s="38">
        <f ca="1">_xlfn.ISOWEEKNUM(Runhours_Table[[#This Row],[Date]])+52*(Runhours_Table[[#This Row],[Year]]-YEAR(DATE(YEAR(TODAY()-WEEKDAY(TODAY()-1)+4),1,1)-MOD((DATE(YEAR(TODAY()-WEEKDAY(TODAY()-1)+4),1,1)-2),7)+(7*IF(MOD((DATE(YEAR(TODAY()-WEEKDAY(TODAY()-1)+4),1,1)-2),7)&gt;3,1,0))+7) )-_xlfn.ISOWEEKNUM(NOW())</f>
        <v>-22</v>
      </c>
      <c r="J347" s="345"/>
    </row>
    <row r="348" spans="1:10">
      <c r="A348" s="6" t="s">
        <v>4</v>
      </c>
      <c r="B348" s="6" t="str">
        <f>VLOOKUP(A348,Fleet[],2,FALSE)</f>
        <v>Intel</v>
      </c>
      <c r="C348" s="160">
        <v>45758</v>
      </c>
      <c r="D348" s="346">
        <f>YEAR(DATE(YEAR(Runhours_Table[[#This Row],[Date]]-WEEKDAY(Runhours_Table[[#This Row],[Date]]-1)+4),1,1)-MOD((DATE(YEAR(Runhours_Table[[#This Row],[Date]]-WEEKDAY(Runhours_Table[[#This Row],[Date]]-1)+4),1,1)-2),7)+(7*IF(MOD((DATE(YEAR(Runhours_Table[[#This Row],[Date]]-WEEKDAY(Runhours_Table[[#This Row],[Date]]-1)+4),1,1)-2),7)&gt;3,1,0))+7)</f>
        <v>2025</v>
      </c>
      <c r="E348" s="164">
        <f>_xlfn.ISOWEEKNUM(Runhours_Table[[#This Row],[Date]])</f>
        <v>15</v>
      </c>
      <c r="F348" s="160" t="str">
        <f>RIGHT(YEAR(Runhours_Table[[#This Row],[Date]]),2)&amp;TEXT(_xlfn.ISOWEEKNUM(Runhours_Table[[#This Row],[Date]]),"00")</f>
        <v>2515</v>
      </c>
      <c r="G348" s="31">
        <v>10.375833</v>
      </c>
      <c r="H348" s="38">
        <v>19.183332999999998</v>
      </c>
      <c r="I348" s="38">
        <f ca="1">_xlfn.ISOWEEKNUM(Runhours_Table[[#This Row],[Date]])+52*(Runhours_Table[[#This Row],[Year]]-YEAR(DATE(YEAR(TODAY()-WEEKDAY(TODAY()-1)+4),1,1)-MOD((DATE(YEAR(TODAY()-WEEKDAY(TODAY()-1)+4),1,1)-2),7)+(7*IF(MOD((DATE(YEAR(TODAY()-WEEKDAY(TODAY()-1)+4),1,1)-2),7)&gt;3,1,0))+7) )-_xlfn.ISOWEEKNUM(NOW())</f>
        <v>-22</v>
      </c>
      <c r="J348" s="345"/>
    </row>
    <row r="349" spans="1:10">
      <c r="A349" s="6" t="s">
        <v>7</v>
      </c>
      <c r="B349" s="6" t="str">
        <f>VLOOKUP(A349,Fleet[],2,FALSE)</f>
        <v>Intel</v>
      </c>
      <c r="C349" s="160">
        <v>45758</v>
      </c>
      <c r="D349" s="346">
        <f>YEAR(DATE(YEAR(Runhours_Table[[#This Row],[Date]]-WEEKDAY(Runhours_Table[[#This Row],[Date]]-1)+4),1,1)-MOD((DATE(YEAR(Runhours_Table[[#This Row],[Date]]-WEEKDAY(Runhours_Table[[#This Row],[Date]]-1)+4),1,1)-2),7)+(7*IF(MOD((DATE(YEAR(Runhours_Table[[#This Row],[Date]]-WEEKDAY(Runhours_Table[[#This Row],[Date]]-1)+4),1,1)-2),7)&gt;3,1,0))+7)</f>
        <v>2025</v>
      </c>
      <c r="E349" s="164">
        <f>_xlfn.ISOWEEKNUM(Runhours_Table[[#This Row],[Date]])</f>
        <v>15</v>
      </c>
      <c r="F349" s="160" t="str">
        <f>RIGHT(YEAR(Runhours_Table[[#This Row],[Date]]),2)&amp;TEXT(_xlfn.ISOWEEKNUM(Runhours_Table[[#This Row],[Date]]),"00")</f>
        <v>2515</v>
      </c>
      <c r="G349" s="31">
        <v>13.046111</v>
      </c>
      <c r="H349" s="38">
        <v>14.333333</v>
      </c>
      <c r="I349" s="38">
        <f ca="1">_xlfn.ISOWEEKNUM(Runhours_Table[[#This Row],[Date]])+52*(Runhours_Table[[#This Row],[Year]]-YEAR(DATE(YEAR(TODAY()-WEEKDAY(TODAY()-1)+4),1,1)-MOD((DATE(YEAR(TODAY()-WEEKDAY(TODAY()-1)+4),1,1)-2),7)+(7*IF(MOD((DATE(YEAR(TODAY()-WEEKDAY(TODAY()-1)+4),1,1)-2),7)&gt;3,1,0))+7) )-_xlfn.ISOWEEKNUM(NOW())</f>
        <v>-22</v>
      </c>
      <c r="J349" s="345"/>
    </row>
    <row r="350" spans="1:10">
      <c r="A350" s="6" t="s">
        <v>4</v>
      </c>
      <c r="B350" s="6" t="str">
        <f>VLOOKUP(A350,Fleet[],2,FALSE)</f>
        <v>Intel</v>
      </c>
      <c r="C350" s="160">
        <v>45759</v>
      </c>
      <c r="D350" s="346">
        <f>YEAR(DATE(YEAR(Runhours_Table[[#This Row],[Date]]-WEEKDAY(Runhours_Table[[#This Row],[Date]]-1)+4),1,1)-MOD((DATE(YEAR(Runhours_Table[[#This Row],[Date]]-WEEKDAY(Runhours_Table[[#This Row],[Date]]-1)+4),1,1)-2),7)+(7*IF(MOD((DATE(YEAR(Runhours_Table[[#This Row],[Date]]-WEEKDAY(Runhours_Table[[#This Row],[Date]]-1)+4),1,1)-2),7)&gt;3,1,0))+7)</f>
        <v>2025</v>
      </c>
      <c r="E350" s="164">
        <f>_xlfn.ISOWEEKNUM(Runhours_Table[[#This Row],[Date]])</f>
        <v>15</v>
      </c>
      <c r="F350" s="160" t="str">
        <f>RIGHT(YEAR(Runhours_Table[[#This Row],[Date]]),2)&amp;TEXT(_xlfn.ISOWEEKNUM(Runhours_Table[[#This Row],[Date]]),"00")</f>
        <v>2515</v>
      </c>
      <c r="G350" s="31">
        <v>20.376667000000001</v>
      </c>
      <c r="H350" s="38">
        <v>22</v>
      </c>
      <c r="I350" s="38">
        <f ca="1">_xlfn.ISOWEEKNUM(Runhours_Table[[#This Row],[Date]])+52*(Runhours_Table[[#This Row],[Year]]-YEAR(DATE(YEAR(TODAY()-WEEKDAY(TODAY()-1)+4),1,1)-MOD((DATE(YEAR(TODAY()-WEEKDAY(TODAY()-1)+4),1,1)-2),7)+(7*IF(MOD((DATE(YEAR(TODAY()-WEEKDAY(TODAY()-1)+4),1,1)-2),7)&gt;3,1,0))+7) )-_xlfn.ISOWEEKNUM(NOW())</f>
        <v>-22</v>
      </c>
      <c r="J350" s="345"/>
    </row>
    <row r="351" spans="1:10">
      <c r="A351" s="6" t="s">
        <v>7</v>
      </c>
      <c r="B351" s="6" t="str">
        <f>VLOOKUP(A351,Fleet[],2,FALSE)</f>
        <v>Intel</v>
      </c>
      <c r="C351" s="160">
        <v>45759</v>
      </c>
      <c r="D351" s="346">
        <f>YEAR(DATE(YEAR(Runhours_Table[[#This Row],[Date]]-WEEKDAY(Runhours_Table[[#This Row],[Date]]-1)+4),1,1)-MOD((DATE(YEAR(Runhours_Table[[#This Row],[Date]]-WEEKDAY(Runhours_Table[[#This Row],[Date]]-1)+4),1,1)-2),7)+(7*IF(MOD((DATE(YEAR(Runhours_Table[[#This Row],[Date]]-WEEKDAY(Runhours_Table[[#This Row],[Date]]-1)+4),1,1)-2),7)&gt;3,1,0))+7)</f>
        <v>2025</v>
      </c>
      <c r="E351" s="164">
        <f>_xlfn.ISOWEEKNUM(Runhours_Table[[#This Row],[Date]])</f>
        <v>15</v>
      </c>
      <c r="F351" s="160" t="str">
        <f>RIGHT(YEAR(Runhours_Table[[#This Row],[Date]]),2)&amp;TEXT(_xlfn.ISOWEEKNUM(Runhours_Table[[#This Row],[Date]]),"00")</f>
        <v>2515</v>
      </c>
      <c r="G351" s="31">
        <v>13.035833</v>
      </c>
      <c r="H351" s="38">
        <v>15.85</v>
      </c>
      <c r="I351" s="38">
        <f ca="1">_xlfn.ISOWEEKNUM(Runhours_Table[[#This Row],[Date]])+52*(Runhours_Table[[#This Row],[Year]]-YEAR(DATE(YEAR(TODAY()-WEEKDAY(TODAY()-1)+4),1,1)-MOD((DATE(YEAR(TODAY()-WEEKDAY(TODAY()-1)+4),1,1)-2),7)+(7*IF(MOD((DATE(YEAR(TODAY()-WEEKDAY(TODAY()-1)+4),1,1)-2),7)&gt;3,1,0))+7) )-_xlfn.ISOWEEKNUM(NOW())</f>
        <v>-22</v>
      </c>
      <c r="J351" s="345"/>
    </row>
    <row r="352" spans="1:10">
      <c r="A352" s="6" t="s">
        <v>4</v>
      </c>
      <c r="B352" s="6" t="str">
        <f>VLOOKUP(A352,Fleet[],2,FALSE)</f>
        <v>Intel</v>
      </c>
      <c r="C352" s="160">
        <v>45760</v>
      </c>
      <c r="D352" s="346">
        <f>YEAR(DATE(YEAR(Runhours_Table[[#This Row],[Date]]-WEEKDAY(Runhours_Table[[#This Row],[Date]]-1)+4),1,1)-MOD((DATE(YEAR(Runhours_Table[[#This Row],[Date]]-WEEKDAY(Runhours_Table[[#This Row],[Date]]-1)+4),1,1)-2),7)+(7*IF(MOD((DATE(YEAR(Runhours_Table[[#This Row],[Date]]-WEEKDAY(Runhours_Table[[#This Row],[Date]]-1)+4),1,1)-2),7)&gt;3,1,0))+7)</f>
        <v>2025</v>
      </c>
      <c r="E352" s="164">
        <f>_xlfn.ISOWEEKNUM(Runhours_Table[[#This Row],[Date]])</f>
        <v>15</v>
      </c>
      <c r="F352" s="160" t="str">
        <f>RIGHT(YEAR(Runhours_Table[[#This Row],[Date]]),2)&amp;TEXT(_xlfn.ISOWEEKNUM(Runhours_Table[[#This Row],[Date]]),"00")</f>
        <v>2515</v>
      </c>
      <c r="G352" s="31">
        <v>11.634167</v>
      </c>
      <c r="H352" s="38">
        <v>16.95</v>
      </c>
      <c r="I352" s="38">
        <f ca="1">_xlfn.ISOWEEKNUM(Runhours_Table[[#This Row],[Date]])+52*(Runhours_Table[[#This Row],[Year]]-YEAR(DATE(YEAR(TODAY()-WEEKDAY(TODAY()-1)+4),1,1)-MOD((DATE(YEAR(TODAY()-WEEKDAY(TODAY()-1)+4),1,1)-2),7)+(7*IF(MOD((DATE(YEAR(TODAY()-WEEKDAY(TODAY()-1)+4),1,1)-2),7)&gt;3,1,0))+7) )-_xlfn.ISOWEEKNUM(NOW())</f>
        <v>-22</v>
      </c>
      <c r="J352" s="345"/>
    </row>
    <row r="353" spans="1:10">
      <c r="A353" s="6" t="s">
        <v>7</v>
      </c>
      <c r="B353" s="6" t="str">
        <f>VLOOKUP(A353,Fleet[],2,FALSE)</f>
        <v>Intel</v>
      </c>
      <c r="C353" s="160">
        <v>45760</v>
      </c>
      <c r="D353" s="346">
        <f>YEAR(DATE(YEAR(Runhours_Table[[#This Row],[Date]]-WEEKDAY(Runhours_Table[[#This Row],[Date]]-1)+4),1,1)-MOD((DATE(YEAR(Runhours_Table[[#This Row],[Date]]-WEEKDAY(Runhours_Table[[#This Row],[Date]]-1)+4),1,1)-2),7)+(7*IF(MOD((DATE(YEAR(Runhours_Table[[#This Row],[Date]]-WEEKDAY(Runhours_Table[[#This Row],[Date]]-1)+4),1,1)-2),7)&gt;3,1,0))+7)</f>
        <v>2025</v>
      </c>
      <c r="E353" s="164">
        <f>_xlfn.ISOWEEKNUM(Runhours_Table[[#This Row],[Date]])</f>
        <v>15</v>
      </c>
      <c r="F353" s="160" t="str">
        <f>RIGHT(YEAR(Runhours_Table[[#This Row],[Date]]),2)&amp;TEXT(_xlfn.ISOWEEKNUM(Runhours_Table[[#This Row],[Date]]),"00")</f>
        <v>2515</v>
      </c>
      <c r="G353" s="31">
        <v>16.890833000000001</v>
      </c>
      <c r="H353" s="38">
        <v>21.016666000000001</v>
      </c>
      <c r="I353" s="38">
        <f ca="1">_xlfn.ISOWEEKNUM(Runhours_Table[[#This Row],[Date]])+52*(Runhours_Table[[#This Row],[Year]]-YEAR(DATE(YEAR(TODAY()-WEEKDAY(TODAY()-1)+4),1,1)-MOD((DATE(YEAR(TODAY()-WEEKDAY(TODAY()-1)+4),1,1)-2),7)+(7*IF(MOD((DATE(YEAR(TODAY()-WEEKDAY(TODAY()-1)+4),1,1)-2),7)&gt;3,1,0))+7) )-_xlfn.ISOWEEKNUM(NOW())</f>
        <v>-22</v>
      </c>
      <c r="J353" s="345"/>
    </row>
    <row r="354" spans="1:10">
      <c r="A354" s="6" t="s">
        <v>4</v>
      </c>
      <c r="B354" s="6" t="str">
        <f>VLOOKUP(A354,Fleet[],2,FALSE)</f>
        <v>Intel</v>
      </c>
      <c r="C354" s="160">
        <v>45761</v>
      </c>
      <c r="D354" s="346">
        <f>YEAR(DATE(YEAR(Runhours_Table[[#This Row],[Date]]-WEEKDAY(Runhours_Table[[#This Row],[Date]]-1)+4),1,1)-MOD((DATE(YEAR(Runhours_Table[[#This Row],[Date]]-WEEKDAY(Runhours_Table[[#This Row],[Date]]-1)+4),1,1)-2),7)+(7*IF(MOD((DATE(YEAR(Runhours_Table[[#This Row],[Date]]-WEEKDAY(Runhours_Table[[#This Row],[Date]]-1)+4),1,1)-2),7)&gt;3,1,0))+7)</f>
        <v>2025</v>
      </c>
      <c r="E354" s="164">
        <f>_xlfn.ISOWEEKNUM(Runhours_Table[[#This Row],[Date]])</f>
        <v>16</v>
      </c>
      <c r="F354" s="160" t="str">
        <f>RIGHT(YEAR(Runhours_Table[[#This Row],[Date]]),2)&amp;TEXT(_xlfn.ISOWEEKNUM(Runhours_Table[[#This Row],[Date]]),"00")</f>
        <v>2516</v>
      </c>
      <c r="G354" s="31">
        <v>17.300833000000001</v>
      </c>
      <c r="H354" s="38">
        <v>21.450000000000003</v>
      </c>
      <c r="I354" s="38">
        <f ca="1">_xlfn.ISOWEEKNUM(Runhours_Table[[#This Row],[Date]])+52*(Runhours_Table[[#This Row],[Year]]-YEAR(DATE(YEAR(TODAY()-WEEKDAY(TODAY()-1)+4),1,1)-MOD((DATE(YEAR(TODAY()-WEEKDAY(TODAY()-1)+4),1,1)-2),7)+(7*IF(MOD((DATE(YEAR(TODAY()-WEEKDAY(TODAY()-1)+4),1,1)-2),7)&gt;3,1,0))+7) )-_xlfn.ISOWEEKNUM(NOW())</f>
        <v>-21</v>
      </c>
      <c r="J354" s="345"/>
    </row>
    <row r="355" spans="1:10">
      <c r="A355" s="6" t="s">
        <v>7</v>
      </c>
      <c r="B355" s="6" t="str">
        <f>VLOOKUP(A355,Fleet[],2,FALSE)</f>
        <v>Intel</v>
      </c>
      <c r="C355" s="160">
        <v>45761</v>
      </c>
      <c r="D355" s="346">
        <f>YEAR(DATE(YEAR(Runhours_Table[[#This Row],[Date]]-WEEKDAY(Runhours_Table[[#This Row],[Date]]-1)+4),1,1)-MOD((DATE(YEAR(Runhours_Table[[#This Row],[Date]]-WEEKDAY(Runhours_Table[[#This Row],[Date]]-1)+4),1,1)-2),7)+(7*IF(MOD((DATE(YEAR(Runhours_Table[[#This Row],[Date]]-WEEKDAY(Runhours_Table[[#This Row],[Date]]-1)+4),1,1)-2),7)&gt;3,1,0))+7)</f>
        <v>2025</v>
      </c>
      <c r="E355" s="164">
        <f>_xlfn.ISOWEEKNUM(Runhours_Table[[#This Row],[Date]])</f>
        <v>16</v>
      </c>
      <c r="F355" s="160" t="str">
        <f>RIGHT(YEAR(Runhours_Table[[#This Row],[Date]]),2)&amp;TEXT(_xlfn.ISOWEEKNUM(Runhours_Table[[#This Row],[Date]]),"00")</f>
        <v>2516</v>
      </c>
      <c r="G355" s="31">
        <v>17.641389</v>
      </c>
      <c r="H355" s="38">
        <v>21.266666999999998</v>
      </c>
      <c r="I355" s="38">
        <f ca="1">_xlfn.ISOWEEKNUM(Runhours_Table[[#This Row],[Date]])+52*(Runhours_Table[[#This Row],[Year]]-YEAR(DATE(YEAR(TODAY()-WEEKDAY(TODAY()-1)+4),1,1)-MOD((DATE(YEAR(TODAY()-WEEKDAY(TODAY()-1)+4),1,1)-2),7)+(7*IF(MOD((DATE(YEAR(TODAY()-WEEKDAY(TODAY()-1)+4),1,1)-2),7)&gt;3,1,0))+7) )-_xlfn.ISOWEEKNUM(NOW())</f>
        <v>-21</v>
      </c>
      <c r="J355" s="345"/>
    </row>
    <row r="356" spans="1:10">
      <c r="A356" s="6" t="s">
        <v>4</v>
      </c>
      <c r="B356" s="6" t="str">
        <f>VLOOKUP(A356,Fleet[],2,FALSE)</f>
        <v>Intel</v>
      </c>
      <c r="C356" s="160">
        <v>45762</v>
      </c>
      <c r="D356" s="346">
        <f>YEAR(DATE(YEAR(Runhours_Table[[#This Row],[Date]]-WEEKDAY(Runhours_Table[[#This Row],[Date]]-1)+4),1,1)-MOD((DATE(YEAR(Runhours_Table[[#This Row],[Date]]-WEEKDAY(Runhours_Table[[#This Row],[Date]]-1)+4),1,1)-2),7)+(7*IF(MOD((DATE(YEAR(Runhours_Table[[#This Row],[Date]]-WEEKDAY(Runhours_Table[[#This Row],[Date]]-1)+4),1,1)-2),7)&gt;3,1,0))+7)</f>
        <v>2025</v>
      </c>
      <c r="E356" s="164">
        <f>_xlfn.ISOWEEKNUM(Runhours_Table[[#This Row],[Date]])</f>
        <v>16</v>
      </c>
      <c r="F356" s="160" t="str">
        <f>RIGHT(YEAR(Runhours_Table[[#This Row],[Date]]),2)&amp;TEXT(_xlfn.ISOWEEKNUM(Runhours_Table[[#This Row],[Date]]),"00")</f>
        <v>2516</v>
      </c>
      <c r="G356" s="31">
        <v>15.935278</v>
      </c>
      <c r="H356" s="38">
        <v>20.75</v>
      </c>
      <c r="I356" s="38">
        <f ca="1">_xlfn.ISOWEEKNUM(Runhours_Table[[#This Row],[Date]])+52*(Runhours_Table[[#This Row],[Year]]-YEAR(DATE(YEAR(TODAY()-WEEKDAY(TODAY()-1)+4),1,1)-MOD((DATE(YEAR(TODAY()-WEEKDAY(TODAY()-1)+4),1,1)-2),7)+(7*IF(MOD((DATE(YEAR(TODAY()-WEEKDAY(TODAY()-1)+4),1,1)-2),7)&gt;3,1,0))+7) )-_xlfn.ISOWEEKNUM(NOW())</f>
        <v>-21</v>
      </c>
      <c r="J356" s="345"/>
    </row>
    <row r="357" spans="1:10">
      <c r="A357" s="6" t="s">
        <v>7</v>
      </c>
      <c r="B357" s="6" t="str">
        <f>VLOOKUP(A357,Fleet[],2,FALSE)</f>
        <v>Intel</v>
      </c>
      <c r="C357" s="160">
        <v>45762</v>
      </c>
      <c r="D357" s="346">
        <f>YEAR(DATE(YEAR(Runhours_Table[[#This Row],[Date]]-WEEKDAY(Runhours_Table[[#This Row],[Date]]-1)+4),1,1)-MOD((DATE(YEAR(Runhours_Table[[#This Row],[Date]]-WEEKDAY(Runhours_Table[[#This Row],[Date]]-1)+4),1,1)-2),7)+(7*IF(MOD((DATE(YEAR(Runhours_Table[[#This Row],[Date]]-WEEKDAY(Runhours_Table[[#This Row],[Date]]-1)+4),1,1)-2),7)&gt;3,1,0))+7)</f>
        <v>2025</v>
      </c>
      <c r="E357" s="164">
        <f>_xlfn.ISOWEEKNUM(Runhours_Table[[#This Row],[Date]])</f>
        <v>16</v>
      </c>
      <c r="F357" s="160" t="str">
        <f>RIGHT(YEAR(Runhours_Table[[#This Row],[Date]]),2)&amp;TEXT(_xlfn.ISOWEEKNUM(Runhours_Table[[#This Row],[Date]]),"00")</f>
        <v>2516</v>
      </c>
      <c r="G357" s="31">
        <v>1.3975</v>
      </c>
      <c r="H357" s="38">
        <v>4.7833329999999998</v>
      </c>
      <c r="I357" s="38">
        <f ca="1">_xlfn.ISOWEEKNUM(Runhours_Table[[#This Row],[Date]])+52*(Runhours_Table[[#This Row],[Year]]-YEAR(DATE(YEAR(TODAY()-WEEKDAY(TODAY()-1)+4),1,1)-MOD((DATE(YEAR(TODAY()-WEEKDAY(TODAY()-1)+4),1,1)-2),7)+(7*IF(MOD((DATE(YEAR(TODAY()-WEEKDAY(TODAY()-1)+4),1,1)-2),7)&gt;3,1,0))+7) )-_xlfn.ISOWEEKNUM(NOW())</f>
        <v>-21</v>
      </c>
      <c r="J357" s="345"/>
    </row>
    <row r="358" spans="1:10">
      <c r="A358" s="6" t="s">
        <v>4</v>
      </c>
      <c r="B358" s="6" t="str">
        <f>VLOOKUP(A358,Fleet[],2,FALSE)</f>
        <v>Intel</v>
      </c>
      <c r="C358" s="160">
        <v>45763</v>
      </c>
      <c r="D358" s="346">
        <f>YEAR(DATE(YEAR(Runhours_Table[[#This Row],[Date]]-WEEKDAY(Runhours_Table[[#This Row],[Date]]-1)+4),1,1)-MOD((DATE(YEAR(Runhours_Table[[#This Row],[Date]]-WEEKDAY(Runhours_Table[[#This Row],[Date]]-1)+4),1,1)-2),7)+(7*IF(MOD((DATE(YEAR(Runhours_Table[[#This Row],[Date]]-WEEKDAY(Runhours_Table[[#This Row],[Date]]-1)+4),1,1)-2),7)&gt;3,1,0))+7)</f>
        <v>2025</v>
      </c>
      <c r="E358" s="164">
        <f>_xlfn.ISOWEEKNUM(Runhours_Table[[#This Row],[Date]])</f>
        <v>16</v>
      </c>
      <c r="F358" s="160" t="str">
        <f>RIGHT(YEAR(Runhours_Table[[#This Row],[Date]]),2)&amp;TEXT(_xlfn.ISOWEEKNUM(Runhours_Table[[#This Row],[Date]]),"00")</f>
        <v>2516</v>
      </c>
      <c r="G358" s="31">
        <v>13.7525</v>
      </c>
      <c r="H358" s="38">
        <v>22.083333</v>
      </c>
      <c r="I358" s="38">
        <f ca="1">_xlfn.ISOWEEKNUM(Runhours_Table[[#This Row],[Date]])+52*(Runhours_Table[[#This Row],[Year]]-YEAR(DATE(YEAR(TODAY()-WEEKDAY(TODAY()-1)+4),1,1)-MOD((DATE(YEAR(TODAY()-WEEKDAY(TODAY()-1)+4),1,1)-2),7)+(7*IF(MOD((DATE(YEAR(TODAY()-WEEKDAY(TODAY()-1)+4),1,1)-2),7)&gt;3,1,0))+7) )-_xlfn.ISOWEEKNUM(NOW())</f>
        <v>-21</v>
      </c>
      <c r="J358" s="345"/>
    </row>
    <row r="359" spans="1:10">
      <c r="A359" s="6" t="s">
        <v>7</v>
      </c>
      <c r="B359" s="6" t="str">
        <f>VLOOKUP(A359,Fleet[],2,FALSE)</f>
        <v>Intel</v>
      </c>
      <c r="C359" s="160">
        <v>45763</v>
      </c>
      <c r="D359" s="346">
        <f>YEAR(DATE(YEAR(Runhours_Table[[#This Row],[Date]]-WEEKDAY(Runhours_Table[[#This Row],[Date]]-1)+4),1,1)-MOD((DATE(YEAR(Runhours_Table[[#This Row],[Date]]-WEEKDAY(Runhours_Table[[#This Row],[Date]]-1)+4),1,1)-2),7)+(7*IF(MOD((DATE(YEAR(Runhours_Table[[#This Row],[Date]]-WEEKDAY(Runhours_Table[[#This Row],[Date]]-1)+4),1,1)-2),7)&gt;3,1,0))+7)</f>
        <v>2025</v>
      </c>
      <c r="E359" s="164">
        <f>_xlfn.ISOWEEKNUM(Runhours_Table[[#This Row],[Date]])</f>
        <v>16</v>
      </c>
      <c r="F359" s="160" t="str">
        <f>RIGHT(YEAR(Runhours_Table[[#This Row],[Date]]),2)&amp;TEXT(_xlfn.ISOWEEKNUM(Runhours_Table[[#This Row],[Date]]),"00")</f>
        <v>2516</v>
      </c>
      <c r="G359" s="31">
        <v>15.724167</v>
      </c>
      <c r="H359" s="38">
        <v>21.733333999999999</v>
      </c>
      <c r="I359" s="38">
        <f ca="1">_xlfn.ISOWEEKNUM(Runhours_Table[[#This Row],[Date]])+52*(Runhours_Table[[#This Row],[Year]]-YEAR(DATE(YEAR(TODAY()-WEEKDAY(TODAY()-1)+4),1,1)-MOD((DATE(YEAR(TODAY()-WEEKDAY(TODAY()-1)+4),1,1)-2),7)+(7*IF(MOD((DATE(YEAR(TODAY()-WEEKDAY(TODAY()-1)+4),1,1)-2),7)&gt;3,1,0))+7) )-_xlfn.ISOWEEKNUM(NOW())</f>
        <v>-21</v>
      </c>
      <c r="J359" s="345"/>
    </row>
    <row r="360" spans="1:10">
      <c r="A360" s="6" t="s">
        <v>4</v>
      </c>
      <c r="B360" s="6" t="str">
        <f>VLOOKUP(A360,Fleet[],2,FALSE)</f>
        <v>Intel</v>
      </c>
      <c r="C360" s="160">
        <v>45764</v>
      </c>
      <c r="D360" s="346">
        <f>YEAR(DATE(YEAR(Runhours_Table[[#This Row],[Date]]-WEEKDAY(Runhours_Table[[#This Row],[Date]]-1)+4),1,1)-MOD((DATE(YEAR(Runhours_Table[[#This Row],[Date]]-WEEKDAY(Runhours_Table[[#This Row],[Date]]-1)+4),1,1)-2),7)+(7*IF(MOD((DATE(YEAR(Runhours_Table[[#This Row],[Date]]-WEEKDAY(Runhours_Table[[#This Row],[Date]]-1)+4),1,1)-2),7)&gt;3,1,0))+7)</f>
        <v>2025</v>
      </c>
      <c r="E360" s="164">
        <f>_xlfn.ISOWEEKNUM(Runhours_Table[[#This Row],[Date]])</f>
        <v>16</v>
      </c>
      <c r="F360" s="160" t="str">
        <f>RIGHT(YEAR(Runhours_Table[[#This Row],[Date]]),2)&amp;TEXT(_xlfn.ISOWEEKNUM(Runhours_Table[[#This Row],[Date]]),"00")</f>
        <v>2516</v>
      </c>
      <c r="G360" s="31">
        <v>14.285833</v>
      </c>
      <c r="H360" s="38">
        <v>21.9</v>
      </c>
      <c r="I360" s="38">
        <f ca="1">_xlfn.ISOWEEKNUM(Runhours_Table[[#This Row],[Date]])+52*(Runhours_Table[[#This Row],[Year]]-YEAR(DATE(YEAR(TODAY()-WEEKDAY(TODAY()-1)+4),1,1)-MOD((DATE(YEAR(TODAY()-WEEKDAY(TODAY()-1)+4),1,1)-2),7)+(7*IF(MOD((DATE(YEAR(TODAY()-WEEKDAY(TODAY()-1)+4),1,1)-2),7)&gt;3,1,0))+7) )-_xlfn.ISOWEEKNUM(NOW())</f>
        <v>-21</v>
      </c>
      <c r="J360" s="345"/>
    </row>
    <row r="361" spans="1:10">
      <c r="A361" s="6" t="s">
        <v>7</v>
      </c>
      <c r="B361" s="6" t="str">
        <f>VLOOKUP(A361,Fleet[],2,FALSE)</f>
        <v>Intel</v>
      </c>
      <c r="C361" s="160">
        <v>45764</v>
      </c>
      <c r="D361" s="346">
        <f>YEAR(DATE(YEAR(Runhours_Table[[#This Row],[Date]]-WEEKDAY(Runhours_Table[[#This Row],[Date]]-1)+4),1,1)-MOD((DATE(YEAR(Runhours_Table[[#This Row],[Date]]-WEEKDAY(Runhours_Table[[#This Row],[Date]]-1)+4),1,1)-2),7)+(7*IF(MOD((DATE(YEAR(Runhours_Table[[#This Row],[Date]]-WEEKDAY(Runhours_Table[[#This Row],[Date]]-1)+4),1,1)-2),7)&gt;3,1,0))+7)</f>
        <v>2025</v>
      </c>
      <c r="E361" s="164">
        <f>_xlfn.ISOWEEKNUM(Runhours_Table[[#This Row],[Date]])</f>
        <v>16</v>
      </c>
      <c r="F361" s="160" t="str">
        <f>RIGHT(YEAR(Runhours_Table[[#This Row],[Date]]),2)&amp;TEXT(_xlfn.ISOWEEKNUM(Runhours_Table[[#This Row],[Date]]),"00")</f>
        <v>2516</v>
      </c>
      <c r="G361" s="31">
        <v>12.27</v>
      </c>
      <c r="H361" s="38">
        <v>17.100000000000001</v>
      </c>
      <c r="I361" s="38">
        <f ca="1">_xlfn.ISOWEEKNUM(Runhours_Table[[#This Row],[Date]])+52*(Runhours_Table[[#This Row],[Year]]-YEAR(DATE(YEAR(TODAY()-WEEKDAY(TODAY()-1)+4),1,1)-MOD((DATE(YEAR(TODAY()-WEEKDAY(TODAY()-1)+4),1,1)-2),7)+(7*IF(MOD((DATE(YEAR(TODAY()-WEEKDAY(TODAY()-1)+4),1,1)-2),7)&gt;3,1,0))+7) )-_xlfn.ISOWEEKNUM(NOW())</f>
        <v>-21</v>
      </c>
      <c r="J361" s="345"/>
    </row>
    <row r="362" spans="1:10">
      <c r="A362" s="6" t="s">
        <v>4</v>
      </c>
      <c r="B362" s="6" t="str">
        <f>VLOOKUP(A362,Fleet[],2,FALSE)</f>
        <v>Intel</v>
      </c>
      <c r="C362" s="160">
        <v>45765</v>
      </c>
      <c r="D362" s="346">
        <f>YEAR(DATE(YEAR(Runhours_Table[[#This Row],[Date]]-WEEKDAY(Runhours_Table[[#This Row],[Date]]-1)+4),1,1)-MOD((DATE(YEAR(Runhours_Table[[#This Row],[Date]]-WEEKDAY(Runhours_Table[[#This Row],[Date]]-1)+4),1,1)-2),7)+(7*IF(MOD((DATE(YEAR(Runhours_Table[[#This Row],[Date]]-WEEKDAY(Runhours_Table[[#This Row],[Date]]-1)+4),1,1)-2),7)&gt;3,1,0))+7)</f>
        <v>2025</v>
      </c>
      <c r="E362" s="164">
        <f>_xlfn.ISOWEEKNUM(Runhours_Table[[#This Row],[Date]])</f>
        <v>16</v>
      </c>
      <c r="F362" s="160" t="str">
        <f>RIGHT(YEAR(Runhours_Table[[#This Row],[Date]]),2)&amp;TEXT(_xlfn.ISOWEEKNUM(Runhours_Table[[#This Row],[Date]]),"00")</f>
        <v>2516</v>
      </c>
      <c r="G362" s="31">
        <v>12.041944000000001</v>
      </c>
      <c r="H362" s="38">
        <v>21.766666000000001</v>
      </c>
      <c r="I362" s="38">
        <f ca="1">_xlfn.ISOWEEKNUM(Runhours_Table[[#This Row],[Date]])+52*(Runhours_Table[[#This Row],[Year]]-YEAR(DATE(YEAR(TODAY()-WEEKDAY(TODAY()-1)+4),1,1)-MOD((DATE(YEAR(TODAY()-WEEKDAY(TODAY()-1)+4),1,1)-2),7)+(7*IF(MOD((DATE(YEAR(TODAY()-WEEKDAY(TODAY()-1)+4),1,1)-2),7)&gt;3,1,0))+7) )-_xlfn.ISOWEEKNUM(NOW())</f>
        <v>-21</v>
      </c>
      <c r="J362" s="345"/>
    </row>
    <row r="363" spans="1:10">
      <c r="A363" s="6" t="s">
        <v>7</v>
      </c>
      <c r="B363" s="6" t="str">
        <f>VLOOKUP(A363,Fleet[],2,FALSE)</f>
        <v>Intel</v>
      </c>
      <c r="C363" s="160">
        <v>45765</v>
      </c>
      <c r="D363" s="346">
        <f>YEAR(DATE(YEAR(Runhours_Table[[#This Row],[Date]]-WEEKDAY(Runhours_Table[[#This Row],[Date]]-1)+4),1,1)-MOD((DATE(YEAR(Runhours_Table[[#This Row],[Date]]-WEEKDAY(Runhours_Table[[#This Row],[Date]]-1)+4),1,1)-2),7)+(7*IF(MOD((DATE(YEAR(Runhours_Table[[#This Row],[Date]]-WEEKDAY(Runhours_Table[[#This Row],[Date]]-1)+4),1,1)-2),7)&gt;3,1,0))+7)</f>
        <v>2025</v>
      </c>
      <c r="E363" s="164">
        <f>_xlfn.ISOWEEKNUM(Runhours_Table[[#This Row],[Date]])</f>
        <v>16</v>
      </c>
      <c r="F363" s="160" t="str">
        <f>RIGHT(YEAR(Runhours_Table[[#This Row],[Date]]),2)&amp;TEXT(_xlfn.ISOWEEKNUM(Runhours_Table[[#This Row],[Date]]),"00")</f>
        <v>2516</v>
      </c>
      <c r="G363" s="31">
        <v>9.1741670000000006</v>
      </c>
      <c r="H363" s="38">
        <v>13.883334000000001</v>
      </c>
      <c r="I363" s="38">
        <f ca="1">_xlfn.ISOWEEKNUM(Runhours_Table[[#This Row],[Date]])+52*(Runhours_Table[[#This Row],[Year]]-YEAR(DATE(YEAR(TODAY()-WEEKDAY(TODAY()-1)+4),1,1)-MOD((DATE(YEAR(TODAY()-WEEKDAY(TODAY()-1)+4),1,1)-2),7)+(7*IF(MOD((DATE(YEAR(TODAY()-WEEKDAY(TODAY()-1)+4),1,1)-2),7)&gt;3,1,0))+7) )-_xlfn.ISOWEEKNUM(NOW())</f>
        <v>-21</v>
      </c>
      <c r="J363" s="345"/>
    </row>
    <row r="364" spans="1:10">
      <c r="A364" s="6" t="s">
        <v>4</v>
      </c>
      <c r="B364" s="6" t="str">
        <f>VLOOKUP(A364,Fleet[],2,FALSE)</f>
        <v>Intel</v>
      </c>
      <c r="C364" s="160">
        <v>45766</v>
      </c>
      <c r="D364" s="346">
        <f>YEAR(DATE(YEAR(Runhours_Table[[#This Row],[Date]]-WEEKDAY(Runhours_Table[[#This Row],[Date]]-1)+4),1,1)-MOD((DATE(YEAR(Runhours_Table[[#This Row],[Date]]-WEEKDAY(Runhours_Table[[#This Row],[Date]]-1)+4),1,1)-2),7)+(7*IF(MOD((DATE(YEAR(Runhours_Table[[#This Row],[Date]]-WEEKDAY(Runhours_Table[[#This Row],[Date]]-1)+4),1,1)-2),7)&gt;3,1,0))+7)</f>
        <v>2025</v>
      </c>
      <c r="E364" s="164">
        <f>_xlfn.ISOWEEKNUM(Runhours_Table[[#This Row],[Date]])</f>
        <v>16</v>
      </c>
      <c r="F364" s="160" t="str">
        <f>RIGHT(YEAR(Runhours_Table[[#This Row],[Date]]),2)&amp;TEXT(_xlfn.ISOWEEKNUM(Runhours_Table[[#This Row],[Date]]),"00")</f>
        <v>2516</v>
      </c>
      <c r="G364" s="31">
        <v>3.2916669999999999</v>
      </c>
      <c r="H364" s="38">
        <v>15.9</v>
      </c>
      <c r="I364" s="38">
        <f ca="1">_xlfn.ISOWEEKNUM(Runhours_Table[[#This Row],[Date]])+52*(Runhours_Table[[#This Row],[Year]]-YEAR(DATE(YEAR(TODAY()-WEEKDAY(TODAY()-1)+4),1,1)-MOD((DATE(YEAR(TODAY()-WEEKDAY(TODAY()-1)+4),1,1)-2),7)+(7*IF(MOD((DATE(YEAR(TODAY()-WEEKDAY(TODAY()-1)+4),1,1)-2),7)&gt;3,1,0))+7) )-_xlfn.ISOWEEKNUM(NOW())</f>
        <v>-21</v>
      </c>
      <c r="J364" s="345"/>
    </row>
    <row r="365" spans="1:10">
      <c r="A365" s="6" t="s">
        <v>7</v>
      </c>
      <c r="B365" s="6" t="str">
        <f>VLOOKUP(A365,Fleet[],2,FALSE)</f>
        <v>Intel</v>
      </c>
      <c r="C365" s="160">
        <v>45766</v>
      </c>
      <c r="D365" s="346">
        <f>YEAR(DATE(YEAR(Runhours_Table[[#This Row],[Date]]-WEEKDAY(Runhours_Table[[#This Row],[Date]]-1)+4),1,1)-MOD((DATE(YEAR(Runhours_Table[[#This Row],[Date]]-WEEKDAY(Runhours_Table[[#This Row],[Date]]-1)+4),1,1)-2),7)+(7*IF(MOD((DATE(YEAR(Runhours_Table[[#This Row],[Date]]-WEEKDAY(Runhours_Table[[#This Row],[Date]]-1)+4),1,1)-2),7)&gt;3,1,0))+7)</f>
        <v>2025</v>
      </c>
      <c r="E365" s="164">
        <f>_xlfn.ISOWEEKNUM(Runhours_Table[[#This Row],[Date]])</f>
        <v>16</v>
      </c>
      <c r="F365" s="160" t="str">
        <f>RIGHT(YEAR(Runhours_Table[[#This Row],[Date]]),2)&amp;TEXT(_xlfn.ISOWEEKNUM(Runhours_Table[[#This Row],[Date]]),"00")</f>
        <v>2516</v>
      </c>
      <c r="G365" s="31">
        <v>18.924721999999999</v>
      </c>
      <c r="H365" s="38">
        <v>22.349999999999998</v>
      </c>
      <c r="I365" s="38">
        <f ca="1">_xlfn.ISOWEEKNUM(Runhours_Table[[#This Row],[Date]])+52*(Runhours_Table[[#This Row],[Year]]-YEAR(DATE(YEAR(TODAY()-WEEKDAY(TODAY()-1)+4),1,1)-MOD((DATE(YEAR(TODAY()-WEEKDAY(TODAY()-1)+4),1,1)-2),7)+(7*IF(MOD((DATE(YEAR(TODAY()-WEEKDAY(TODAY()-1)+4),1,1)-2),7)&gt;3,1,0))+7) )-_xlfn.ISOWEEKNUM(NOW())</f>
        <v>-21</v>
      </c>
      <c r="J365" s="345"/>
    </row>
    <row r="366" spans="1:10">
      <c r="A366" s="6" t="s">
        <v>4</v>
      </c>
      <c r="B366" s="6" t="str">
        <f>VLOOKUP(A366,Fleet[],2,FALSE)</f>
        <v>Intel</v>
      </c>
      <c r="C366" s="160">
        <v>45767</v>
      </c>
      <c r="D366" s="346">
        <f>YEAR(DATE(YEAR(Runhours_Table[[#This Row],[Date]]-WEEKDAY(Runhours_Table[[#This Row],[Date]]-1)+4),1,1)-MOD((DATE(YEAR(Runhours_Table[[#This Row],[Date]]-WEEKDAY(Runhours_Table[[#This Row],[Date]]-1)+4),1,1)-2),7)+(7*IF(MOD((DATE(YEAR(Runhours_Table[[#This Row],[Date]]-WEEKDAY(Runhours_Table[[#This Row],[Date]]-1)+4),1,1)-2),7)&gt;3,1,0))+7)</f>
        <v>2025</v>
      </c>
      <c r="E366" s="164">
        <f>_xlfn.ISOWEEKNUM(Runhours_Table[[#This Row],[Date]])</f>
        <v>16</v>
      </c>
      <c r="F366" s="160" t="str">
        <f>RIGHT(YEAR(Runhours_Table[[#This Row],[Date]]),2)&amp;TEXT(_xlfn.ISOWEEKNUM(Runhours_Table[[#This Row],[Date]]),"00")</f>
        <v>2516</v>
      </c>
      <c r="G366" s="31">
        <v>16.543610999999999</v>
      </c>
      <c r="H366" s="38">
        <v>17.75</v>
      </c>
      <c r="I366" s="38">
        <f ca="1">_xlfn.ISOWEEKNUM(Runhours_Table[[#This Row],[Date]])+52*(Runhours_Table[[#This Row],[Year]]-YEAR(DATE(YEAR(TODAY()-WEEKDAY(TODAY()-1)+4),1,1)-MOD((DATE(YEAR(TODAY()-WEEKDAY(TODAY()-1)+4),1,1)-2),7)+(7*IF(MOD((DATE(YEAR(TODAY()-WEEKDAY(TODAY()-1)+4),1,1)-2),7)&gt;3,1,0))+7) )-_xlfn.ISOWEEKNUM(NOW())</f>
        <v>-21</v>
      </c>
      <c r="J366" s="345"/>
    </row>
    <row r="367" spans="1:10">
      <c r="A367" s="6" t="s">
        <v>7</v>
      </c>
      <c r="B367" s="6" t="str">
        <f>VLOOKUP(A367,Fleet[],2,FALSE)</f>
        <v>Intel</v>
      </c>
      <c r="C367" s="160">
        <v>45767</v>
      </c>
      <c r="D367" s="346">
        <f>YEAR(DATE(YEAR(Runhours_Table[[#This Row],[Date]]-WEEKDAY(Runhours_Table[[#This Row],[Date]]-1)+4),1,1)-MOD((DATE(YEAR(Runhours_Table[[#This Row],[Date]]-WEEKDAY(Runhours_Table[[#This Row],[Date]]-1)+4),1,1)-2),7)+(7*IF(MOD((DATE(YEAR(Runhours_Table[[#This Row],[Date]]-WEEKDAY(Runhours_Table[[#This Row],[Date]]-1)+4),1,1)-2),7)&gt;3,1,0))+7)</f>
        <v>2025</v>
      </c>
      <c r="E367" s="164">
        <f>_xlfn.ISOWEEKNUM(Runhours_Table[[#This Row],[Date]])</f>
        <v>16</v>
      </c>
      <c r="F367" s="160" t="str">
        <f>RIGHT(YEAR(Runhours_Table[[#This Row],[Date]]),2)&amp;TEXT(_xlfn.ISOWEEKNUM(Runhours_Table[[#This Row],[Date]]),"00")</f>
        <v>2516</v>
      </c>
      <c r="G367" s="31">
        <v>17.480556</v>
      </c>
      <c r="H367" s="38">
        <v>24</v>
      </c>
      <c r="I367" s="38">
        <f ca="1">_xlfn.ISOWEEKNUM(Runhours_Table[[#This Row],[Date]])+52*(Runhours_Table[[#This Row],[Year]]-YEAR(DATE(YEAR(TODAY()-WEEKDAY(TODAY()-1)+4),1,1)-MOD((DATE(YEAR(TODAY()-WEEKDAY(TODAY()-1)+4),1,1)-2),7)+(7*IF(MOD((DATE(YEAR(TODAY()-WEEKDAY(TODAY()-1)+4),1,1)-2),7)&gt;3,1,0))+7) )-_xlfn.ISOWEEKNUM(NOW())</f>
        <v>-21</v>
      </c>
      <c r="J367" s="345"/>
    </row>
    <row r="368" spans="1:10">
      <c r="A368" s="6" t="s">
        <v>4</v>
      </c>
      <c r="B368" s="6" t="str">
        <f>VLOOKUP(A368,Fleet[],2,FALSE)</f>
        <v>Intel</v>
      </c>
      <c r="C368" s="160">
        <v>45768</v>
      </c>
      <c r="D368" s="346">
        <f>YEAR(DATE(YEAR(Runhours_Table[[#This Row],[Date]]-WEEKDAY(Runhours_Table[[#This Row],[Date]]-1)+4),1,1)-MOD((DATE(YEAR(Runhours_Table[[#This Row],[Date]]-WEEKDAY(Runhours_Table[[#This Row],[Date]]-1)+4),1,1)-2),7)+(7*IF(MOD((DATE(YEAR(Runhours_Table[[#This Row],[Date]]-WEEKDAY(Runhours_Table[[#This Row],[Date]]-1)+4),1,1)-2),7)&gt;3,1,0))+7)</f>
        <v>2025</v>
      </c>
      <c r="E368" s="164">
        <f>_xlfn.ISOWEEKNUM(Runhours_Table[[#This Row],[Date]])</f>
        <v>17</v>
      </c>
      <c r="F368" s="160" t="str">
        <f>RIGHT(YEAR(Runhours_Table[[#This Row],[Date]]),2)&amp;TEXT(_xlfn.ISOWEEKNUM(Runhours_Table[[#This Row],[Date]]),"00")</f>
        <v>2517</v>
      </c>
      <c r="G368" s="38">
        <v>16.325832999999999</v>
      </c>
      <c r="H368" s="38">
        <v>20.166665999999999</v>
      </c>
      <c r="I368" s="38">
        <f ca="1">_xlfn.ISOWEEKNUM(Runhours_Table[[#This Row],[Date]])+52*(Runhours_Table[[#This Row],[Year]]-YEAR(DATE(YEAR(TODAY()-WEEKDAY(TODAY()-1)+4),1,1)-MOD((DATE(YEAR(TODAY()-WEEKDAY(TODAY()-1)+4),1,1)-2),7)+(7*IF(MOD((DATE(YEAR(TODAY()-WEEKDAY(TODAY()-1)+4),1,1)-2),7)&gt;3,1,0))+7) )-_xlfn.ISOWEEKNUM(NOW())</f>
        <v>-20</v>
      </c>
      <c r="J368" s="345"/>
    </row>
    <row r="369" spans="1:10">
      <c r="A369" s="6" t="s">
        <v>7</v>
      </c>
      <c r="B369" s="6" t="str">
        <f>VLOOKUP(A369,Fleet[],2,FALSE)</f>
        <v>Intel</v>
      </c>
      <c r="C369" s="160">
        <v>45768</v>
      </c>
      <c r="D369" s="346">
        <f>YEAR(DATE(YEAR(Runhours_Table[[#This Row],[Date]]-WEEKDAY(Runhours_Table[[#This Row],[Date]]-1)+4),1,1)-MOD((DATE(YEAR(Runhours_Table[[#This Row],[Date]]-WEEKDAY(Runhours_Table[[#This Row],[Date]]-1)+4),1,1)-2),7)+(7*IF(MOD((DATE(YEAR(Runhours_Table[[#This Row],[Date]]-WEEKDAY(Runhours_Table[[#This Row],[Date]]-1)+4),1,1)-2),7)&gt;3,1,0))+7)</f>
        <v>2025</v>
      </c>
      <c r="E369" s="164">
        <f>_xlfn.ISOWEEKNUM(Runhours_Table[[#This Row],[Date]])</f>
        <v>17</v>
      </c>
      <c r="F369" s="160" t="str">
        <f>RIGHT(YEAR(Runhours_Table[[#This Row],[Date]]),2)&amp;TEXT(_xlfn.ISOWEEKNUM(Runhours_Table[[#This Row],[Date]]),"00")</f>
        <v>2517</v>
      </c>
      <c r="G369" s="31">
        <v>15.660556</v>
      </c>
      <c r="H369" s="38">
        <v>21.716667000000001</v>
      </c>
      <c r="I369" s="38">
        <f ca="1">_xlfn.ISOWEEKNUM(Runhours_Table[[#This Row],[Date]])+52*(Runhours_Table[[#This Row],[Year]]-YEAR(DATE(YEAR(TODAY()-WEEKDAY(TODAY()-1)+4),1,1)-MOD((DATE(YEAR(TODAY()-WEEKDAY(TODAY()-1)+4),1,1)-2),7)+(7*IF(MOD((DATE(YEAR(TODAY()-WEEKDAY(TODAY()-1)+4),1,1)-2),7)&gt;3,1,0))+7) )-_xlfn.ISOWEEKNUM(NOW())</f>
        <v>-20</v>
      </c>
      <c r="J369" s="345"/>
    </row>
    <row r="370" spans="1:10">
      <c r="A370" s="6" t="s">
        <v>4</v>
      </c>
      <c r="B370" s="6" t="str">
        <f>VLOOKUP(A370,Fleet[],2,FALSE)</f>
        <v>Intel</v>
      </c>
      <c r="C370" s="160">
        <v>45769</v>
      </c>
      <c r="D370" s="346">
        <f>YEAR(DATE(YEAR(Runhours_Table[[#This Row],[Date]]-WEEKDAY(Runhours_Table[[#This Row],[Date]]-1)+4),1,1)-MOD((DATE(YEAR(Runhours_Table[[#This Row],[Date]]-WEEKDAY(Runhours_Table[[#This Row],[Date]]-1)+4),1,1)-2),7)+(7*IF(MOD((DATE(YEAR(Runhours_Table[[#This Row],[Date]]-WEEKDAY(Runhours_Table[[#This Row],[Date]]-1)+4),1,1)-2),7)&gt;3,1,0))+7)</f>
        <v>2025</v>
      </c>
      <c r="E370" s="164">
        <f>_xlfn.ISOWEEKNUM(Runhours_Table[[#This Row],[Date]])</f>
        <v>17</v>
      </c>
      <c r="F370" s="160" t="str">
        <f>RIGHT(YEAR(Runhours_Table[[#This Row],[Date]]),2)&amp;TEXT(_xlfn.ISOWEEKNUM(Runhours_Table[[#This Row],[Date]]),"00")</f>
        <v>2517</v>
      </c>
      <c r="G370" s="31">
        <v>17.564722</v>
      </c>
      <c r="H370" s="38">
        <v>20.716666</v>
      </c>
      <c r="I370" s="38">
        <f ca="1">_xlfn.ISOWEEKNUM(Runhours_Table[[#This Row],[Date]])+52*(Runhours_Table[[#This Row],[Year]]-YEAR(DATE(YEAR(TODAY()-WEEKDAY(TODAY()-1)+4),1,1)-MOD((DATE(YEAR(TODAY()-WEEKDAY(TODAY()-1)+4),1,1)-2),7)+(7*IF(MOD((DATE(YEAR(TODAY()-WEEKDAY(TODAY()-1)+4),1,1)-2),7)&gt;3,1,0))+7) )-_xlfn.ISOWEEKNUM(NOW())</f>
        <v>-20</v>
      </c>
      <c r="J370" s="345"/>
    </row>
    <row r="371" spans="1:10">
      <c r="A371" s="6" t="s">
        <v>7</v>
      </c>
      <c r="B371" s="6" t="str">
        <f>VLOOKUP(A371,Fleet[],2,FALSE)</f>
        <v>Intel</v>
      </c>
      <c r="C371" s="160">
        <v>45769</v>
      </c>
      <c r="D371" s="346">
        <f>YEAR(DATE(YEAR(Runhours_Table[[#This Row],[Date]]-WEEKDAY(Runhours_Table[[#This Row],[Date]]-1)+4),1,1)-MOD((DATE(YEAR(Runhours_Table[[#This Row],[Date]]-WEEKDAY(Runhours_Table[[#This Row],[Date]]-1)+4),1,1)-2),7)+(7*IF(MOD((DATE(YEAR(Runhours_Table[[#This Row],[Date]]-WEEKDAY(Runhours_Table[[#This Row],[Date]]-1)+4),1,1)-2),7)&gt;3,1,0))+7)</f>
        <v>2025</v>
      </c>
      <c r="E371" s="164">
        <f>_xlfn.ISOWEEKNUM(Runhours_Table[[#This Row],[Date]])</f>
        <v>17</v>
      </c>
      <c r="F371" s="160" t="str">
        <f>RIGHT(YEAR(Runhours_Table[[#This Row],[Date]]),2)&amp;TEXT(_xlfn.ISOWEEKNUM(Runhours_Table[[#This Row],[Date]]),"00")</f>
        <v>2517</v>
      </c>
      <c r="G371" s="31">
        <v>14.681666999999999</v>
      </c>
      <c r="H371" s="38">
        <v>16.349999999999998</v>
      </c>
      <c r="I371" s="38">
        <f ca="1">_xlfn.ISOWEEKNUM(Runhours_Table[[#This Row],[Date]])+52*(Runhours_Table[[#This Row],[Year]]-YEAR(DATE(YEAR(TODAY()-WEEKDAY(TODAY()-1)+4),1,1)-MOD((DATE(YEAR(TODAY()-WEEKDAY(TODAY()-1)+4),1,1)-2),7)+(7*IF(MOD((DATE(YEAR(TODAY()-WEEKDAY(TODAY()-1)+4),1,1)-2),7)&gt;3,1,0))+7) )-_xlfn.ISOWEEKNUM(NOW())</f>
        <v>-20</v>
      </c>
      <c r="J371" s="345"/>
    </row>
    <row r="372" spans="1:10">
      <c r="A372" s="6" t="s">
        <v>4</v>
      </c>
      <c r="B372" s="6" t="str">
        <f>VLOOKUP(A372,Fleet[],2,FALSE)</f>
        <v>Intel</v>
      </c>
      <c r="C372" s="160">
        <v>45770</v>
      </c>
      <c r="D372" s="346">
        <f>YEAR(DATE(YEAR(Runhours_Table[[#This Row],[Date]]-WEEKDAY(Runhours_Table[[#This Row],[Date]]-1)+4),1,1)-MOD((DATE(YEAR(Runhours_Table[[#This Row],[Date]]-WEEKDAY(Runhours_Table[[#This Row],[Date]]-1)+4),1,1)-2),7)+(7*IF(MOD((DATE(YEAR(Runhours_Table[[#This Row],[Date]]-WEEKDAY(Runhours_Table[[#This Row],[Date]]-1)+4),1,1)-2),7)&gt;3,1,0))+7)</f>
        <v>2025</v>
      </c>
      <c r="E372" s="164">
        <f>_xlfn.ISOWEEKNUM(Runhours_Table[[#This Row],[Date]])</f>
        <v>17</v>
      </c>
      <c r="F372" s="160" t="str">
        <f>RIGHT(YEAR(Runhours_Table[[#This Row],[Date]]),2)&amp;TEXT(_xlfn.ISOWEEKNUM(Runhours_Table[[#This Row],[Date]]),"00")</f>
        <v>2517</v>
      </c>
      <c r="G372" s="31">
        <v>15.794167</v>
      </c>
      <c r="H372" s="38">
        <v>18.75</v>
      </c>
      <c r="I372" s="38">
        <f ca="1">_xlfn.ISOWEEKNUM(Runhours_Table[[#This Row],[Date]])+52*(Runhours_Table[[#This Row],[Year]]-YEAR(DATE(YEAR(TODAY()-WEEKDAY(TODAY()-1)+4),1,1)-MOD((DATE(YEAR(TODAY()-WEEKDAY(TODAY()-1)+4),1,1)-2),7)+(7*IF(MOD((DATE(YEAR(TODAY()-WEEKDAY(TODAY()-1)+4),1,1)-2),7)&gt;3,1,0))+7) )-_xlfn.ISOWEEKNUM(NOW())</f>
        <v>-20</v>
      </c>
      <c r="J372" s="345"/>
    </row>
    <row r="373" spans="1:10">
      <c r="A373" s="6" t="s">
        <v>7</v>
      </c>
      <c r="B373" s="6" t="str">
        <f>VLOOKUP(A373,Fleet[],2,FALSE)</f>
        <v>Intel</v>
      </c>
      <c r="C373" s="160">
        <v>45770</v>
      </c>
      <c r="D373" s="346">
        <f>YEAR(DATE(YEAR(Runhours_Table[[#This Row],[Date]]-WEEKDAY(Runhours_Table[[#This Row],[Date]]-1)+4),1,1)-MOD((DATE(YEAR(Runhours_Table[[#This Row],[Date]]-WEEKDAY(Runhours_Table[[#This Row],[Date]]-1)+4),1,1)-2),7)+(7*IF(MOD((DATE(YEAR(Runhours_Table[[#This Row],[Date]]-WEEKDAY(Runhours_Table[[#This Row],[Date]]-1)+4),1,1)-2),7)&gt;3,1,0))+7)</f>
        <v>2025</v>
      </c>
      <c r="E373" s="164">
        <f>_xlfn.ISOWEEKNUM(Runhours_Table[[#This Row],[Date]])</f>
        <v>17</v>
      </c>
      <c r="F373" s="160" t="str">
        <f>RIGHT(YEAR(Runhours_Table[[#This Row],[Date]]),2)&amp;TEXT(_xlfn.ISOWEEKNUM(Runhours_Table[[#This Row],[Date]]),"00")</f>
        <v>2517</v>
      </c>
      <c r="G373" s="31"/>
      <c r="H373" s="38">
        <v>0</v>
      </c>
      <c r="I373" s="38">
        <f ca="1">_xlfn.ISOWEEKNUM(Runhours_Table[[#This Row],[Date]])+52*(Runhours_Table[[#This Row],[Year]]-YEAR(DATE(YEAR(TODAY()-WEEKDAY(TODAY()-1)+4),1,1)-MOD((DATE(YEAR(TODAY()-WEEKDAY(TODAY()-1)+4),1,1)-2),7)+(7*IF(MOD((DATE(YEAR(TODAY()-WEEKDAY(TODAY()-1)+4),1,1)-2),7)&gt;3,1,0))+7) )-_xlfn.ISOWEEKNUM(NOW())</f>
        <v>-20</v>
      </c>
      <c r="J373" s="345"/>
    </row>
    <row r="374" spans="1:10">
      <c r="A374" s="6" t="s">
        <v>4</v>
      </c>
      <c r="B374" s="6" t="str">
        <f>VLOOKUP(A374,Fleet[],2,FALSE)</f>
        <v>Intel</v>
      </c>
      <c r="C374" s="160">
        <v>45771</v>
      </c>
      <c r="D374" s="346">
        <f>YEAR(DATE(YEAR(Runhours_Table[[#This Row],[Date]]-WEEKDAY(Runhours_Table[[#This Row],[Date]]-1)+4),1,1)-MOD((DATE(YEAR(Runhours_Table[[#This Row],[Date]]-WEEKDAY(Runhours_Table[[#This Row],[Date]]-1)+4),1,1)-2),7)+(7*IF(MOD((DATE(YEAR(Runhours_Table[[#This Row],[Date]]-WEEKDAY(Runhours_Table[[#This Row],[Date]]-1)+4),1,1)-2),7)&gt;3,1,0))+7)</f>
        <v>2025</v>
      </c>
      <c r="E374" s="164">
        <f>_xlfn.ISOWEEKNUM(Runhours_Table[[#This Row],[Date]])</f>
        <v>17</v>
      </c>
      <c r="F374" s="160" t="str">
        <f>RIGHT(YEAR(Runhours_Table[[#This Row],[Date]]),2)&amp;TEXT(_xlfn.ISOWEEKNUM(Runhours_Table[[#This Row],[Date]]),"00")</f>
        <v>2517</v>
      </c>
      <c r="G374" s="31">
        <v>1.407222</v>
      </c>
      <c r="H374" s="38">
        <v>6.15</v>
      </c>
      <c r="I374" s="38">
        <f ca="1">_xlfn.ISOWEEKNUM(Runhours_Table[[#This Row],[Date]])+52*(Runhours_Table[[#This Row],[Year]]-YEAR(DATE(YEAR(TODAY()-WEEKDAY(TODAY()-1)+4),1,1)-MOD((DATE(YEAR(TODAY()-WEEKDAY(TODAY()-1)+4),1,1)-2),7)+(7*IF(MOD((DATE(YEAR(TODAY()-WEEKDAY(TODAY()-1)+4),1,1)-2),7)&gt;3,1,0))+7) )-_xlfn.ISOWEEKNUM(NOW())</f>
        <v>-20</v>
      </c>
      <c r="J374" s="345"/>
    </row>
    <row r="375" spans="1:10">
      <c r="A375" s="6" t="s">
        <v>7</v>
      </c>
      <c r="B375" s="6" t="str">
        <f>VLOOKUP(A375,Fleet[],2,FALSE)</f>
        <v>Intel</v>
      </c>
      <c r="C375" s="160">
        <v>45771</v>
      </c>
      <c r="D375" s="346">
        <f>YEAR(DATE(YEAR(Runhours_Table[[#This Row],[Date]]-WEEKDAY(Runhours_Table[[#This Row],[Date]]-1)+4),1,1)-MOD((DATE(YEAR(Runhours_Table[[#This Row],[Date]]-WEEKDAY(Runhours_Table[[#This Row],[Date]]-1)+4),1,1)-2),7)+(7*IF(MOD((DATE(YEAR(Runhours_Table[[#This Row],[Date]]-WEEKDAY(Runhours_Table[[#This Row],[Date]]-1)+4),1,1)-2),7)&gt;3,1,0))+7)</f>
        <v>2025</v>
      </c>
      <c r="E375" s="164">
        <f>_xlfn.ISOWEEKNUM(Runhours_Table[[#This Row],[Date]])</f>
        <v>17</v>
      </c>
      <c r="F375" s="160" t="str">
        <f>RIGHT(YEAR(Runhours_Table[[#This Row],[Date]]),2)&amp;TEXT(_xlfn.ISOWEEKNUM(Runhours_Table[[#This Row],[Date]]),"00")</f>
        <v>2517</v>
      </c>
      <c r="G375" s="31"/>
      <c r="H375" s="38">
        <v>0</v>
      </c>
      <c r="I375" s="38">
        <f ca="1">_xlfn.ISOWEEKNUM(Runhours_Table[[#This Row],[Date]])+52*(Runhours_Table[[#This Row],[Year]]-YEAR(DATE(YEAR(TODAY()-WEEKDAY(TODAY()-1)+4),1,1)-MOD((DATE(YEAR(TODAY()-WEEKDAY(TODAY()-1)+4),1,1)-2),7)+(7*IF(MOD((DATE(YEAR(TODAY()-WEEKDAY(TODAY()-1)+4),1,1)-2),7)&gt;3,1,0))+7) )-_xlfn.ISOWEEKNUM(NOW())</f>
        <v>-20</v>
      </c>
      <c r="J375" s="345"/>
    </row>
    <row r="376" spans="1:10">
      <c r="A376" s="6" t="s">
        <v>4</v>
      </c>
      <c r="B376" s="6" t="str">
        <f>VLOOKUP(A376,Fleet[],2,FALSE)</f>
        <v>Intel</v>
      </c>
      <c r="C376" s="160">
        <v>45772</v>
      </c>
      <c r="D376" s="346">
        <f>YEAR(DATE(YEAR(Runhours_Table[[#This Row],[Date]]-WEEKDAY(Runhours_Table[[#This Row],[Date]]-1)+4),1,1)-MOD((DATE(YEAR(Runhours_Table[[#This Row],[Date]]-WEEKDAY(Runhours_Table[[#This Row],[Date]]-1)+4),1,1)-2),7)+(7*IF(MOD((DATE(YEAR(Runhours_Table[[#This Row],[Date]]-WEEKDAY(Runhours_Table[[#This Row],[Date]]-1)+4),1,1)-2),7)&gt;3,1,0))+7)</f>
        <v>2025</v>
      </c>
      <c r="E376" s="164">
        <f>_xlfn.ISOWEEKNUM(Runhours_Table[[#This Row],[Date]])</f>
        <v>17</v>
      </c>
      <c r="F376" s="160" t="str">
        <f>RIGHT(YEAR(Runhours_Table[[#This Row],[Date]]),2)&amp;TEXT(_xlfn.ISOWEEKNUM(Runhours_Table[[#This Row],[Date]]),"00")</f>
        <v>2517</v>
      </c>
      <c r="G376" s="31">
        <v>11.276944</v>
      </c>
      <c r="H376" s="38">
        <v>21.583333</v>
      </c>
      <c r="I376" s="38">
        <f ca="1">_xlfn.ISOWEEKNUM(Runhours_Table[[#This Row],[Date]])+52*(Runhours_Table[[#This Row],[Year]]-YEAR(DATE(YEAR(TODAY()-WEEKDAY(TODAY()-1)+4),1,1)-MOD((DATE(YEAR(TODAY()-WEEKDAY(TODAY()-1)+4),1,1)-2),7)+(7*IF(MOD((DATE(YEAR(TODAY()-WEEKDAY(TODAY()-1)+4),1,1)-2),7)&gt;3,1,0))+7) )-_xlfn.ISOWEEKNUM(NOW())</f>
        <v>-20</v>
      </c>
      <c r="J376" s="345"/>
    </row>
    <row r="377" spans="1:10">
      <c r="A377" s="6" t="s">
        <v>7</v>
      </c>
      <c r="B377" s="6" t="str">
        <f>VLOOKUP(A377,Fleet[],2,FALSE)</f>
        <v>Intel</v>
      </c>
      <c r="C377" s="160">
        <v>45772</v>
      </c>
      <c r="D377" s="346">
        <f>YEAR(DATE(YEAR(Runhours_Table[[#This Row],[Date]]-WEEKDAY(Runhours_Table[[#This Row],[Date]]-1)+4),1,1)-MOD((DATE(YEAR(Runhours_Table[[#This Row],[Date]]-WEEKDAY(Runhours_Table[[#This Row],[Date]]-1)+4),1,1)-2),7)+(7*IF(MOD((DATE(YEAR(Runhours_Table[[#This Row],[Date]]-WEEKDAY(Runhours_Table[[#This Row],[Date]]-1)+4),1,1)-2),7)&gt;3,1,0))+7)</f>
        <v>2025</v>
      </c>
      <c r="E377" s="164">
        <f>_xlfn.ISOWEEKNUM(Runhours_Table[[#This Row],[Date]])</f>
        <v>17</v>
      </c>
      <c r="F377" s="160" t="str">
        <f>RIGHT(YEAR(Runhours_Table[[#This Row],[Date]]),2)&amp;TEXT(_xlfn.ISOWEEKNUM(Runhours_Table[[#This Row],[Date]]),"00")</f>
        <v>2517</v>
      </c>
      <c r="G377" s="31"/>
      <c r="H377" s="38">
        <v>0</v>
      </c>
      <c r="I377" s="38">
        <f ca="1">_xlfn.ISOWEEKNUM(Runhours_Table[[#This Row],[Date]])+52*(Runhours_Table[[#This Row],[Year]]-YEAR(DATE(YEAR(TODAY()-WEEKDAY(TODAY()-1)+4),1,1)-MOD((DATE(YEAR(TODAY()-WEEKDAY(TODAY()-1)+4),1,1)-2),7)+(7*IF(MOD((DATE(YEAR(TODAY()-WEEKDAY(TODAY()-1)+4),1,1)-2),7)&gt;3,1,0))+7) )-_xlfn.ISOWEEKNUM(NOW())</f>
        <v>-20</v>
      </c>
      <c r="J377" s="345"/>
    </row>
    <row r="378" spans="1:10">
      <c r="A378" s="6" t="s">
        <v>4</v>
      </c>
      <c r="B378" s="6" t="str">
        <f>VLOOKUP(A378,Fleet[],2,FALSE)</f>
        <v>Intel</v>
      </c>
      <c r="C378" s="160">
        <v>45773</v>
      </c>
      <c r="D378" s="346">
        <f>YEAR(DATE(YEAR(Runhours_Table[[#This Row],[Date]]-WEEKDAY(Runhours_Table[[#This Row],[Date]]-1)+4),1,1)-MOD((DATE(YEAR(Runhours_Table[[#This Row],[Date]]-WEEKDAY(Runhours_Table[[#This Row],[Date]]-1)+4),1,1)-2),7)+(7*IF(MOD((DATE(YEAR(Runhours_Table[[#This Row],[Date]]-WEEKDAY(Runhours_Table[[#This Row],[Date]]-1)+4),1,1)-2),7)&gt;3,1,0))+7)</f>
        <v>2025</v>
      </c>
      <c r="E378" s="164">
        <f>_xlfn.ISOWEEKNUM(Runhours_Table[[#This Row],[Date]])</f>
        <v>17</v>
      </c>
      <c r="F378" s="160" t="str">
        <f>RIGHT(YEAR(Runhours_Table[[#This Row],[Date]]),2)&amp;TEXT(_xlfn.ISOWEEKNUM(Runhours_Table[[#This Row],[Date]]),"00")</f>
        <v>2517</v>
      </c>
      <c r="G378" s="31">
        <v>15.829167</v>
      </c>
      <c r="H378" s="38">
        <v>21.55</v>
      </c>
      <c r="I378" s="38">
        <f ca="1">_xlfn.ISOWEEKNUM(Runhours_Table[[#This Row],[Date]])+52*(Runhours_Table[[#This Row],[Year]]-YEAR(DATE(YEAR(TODAY()-WEEKDAY(TODAY()-1)+4),1,1)-MOD((DATE(YEAR(TODAY()-WEEKDAY(TODAY()-1)+4),1,1)-2),7)+(7*IF(MOD((DATE(YEAR(TODAY()-WEEKDAY(TODAY()-1)+4),1,1)-2),7)&gt;3,1,0))+7) )-_xlfn.ISOWEEKNUM(NOW())</f>
        <v>-20</v>
      </c>
      <c r="J378" s="345"/>
    </row>
    <row r="379" spans="1:10">
      <c r="A379" s="6" t="s">
        <v>7</v>
      </c>
      <c r="B379" s="6" t="str">
        <f>VLOOKUP(A379,Fleet[],2,FALSE)</f>
        <v>Intel</v>
      </c>
      <c r="C379" s="160">
        <v>45773</v>
      </c>
      <c r="D379" s="346">
        <f>YEAR(DATE(YEAR(Runhours_Table[[#This Row],[Date]]-WEEKDAY(Runhours_Table[[#This Row],[Date]]-1)+4),1,1)-MOD((DATE(YEAR(Runhours_Table[[#This Row],[Date]]-WEEKDAY(Runhours_Table[[#This Row],[Date]]-1)+4),1,1)-2),7)+(7*IF(MOD((DATE(YEAR(Runhours_Table[[#This Row],[Date]]-WEEKDAY(Runhours_Table[[#This Row],[Date]]-1)+4),1,1)-2),7)&gt;3,1,0))+7)</f>
        <v>2025</v>
      </c>
      <c r="E379" s="164">
        <f>_xlfn.ISOWEEKNUM(Runhours_Table[[#This Row],[Date]])</f>
        <v>17</v>
      </c>
      <c r="F379" s="160" t="str">
        <f>RIGHT(YEAR(Runhours_Table[[#This Row],[Date]]),2)&amp;TEXT(_xlfn.ISOWEEKNUM(Runhours_Table[[#This Row],[Date]]),"00")</f>
        <v>2517</v>
      </c>
      <c r="G379" s="31"/>
      <c r="H379" s="38">
        <v>0</v>
      </c>
      <c r="I379" s="38">
        <f ca="1">_xlfn.ISOWEEKNUM(Runhours_Table[[#This Row],[Date]])+52*(Runhours_Table[[#This Row],[Year]]-YEAR(DATE(YEAR(TODAY()-WEEKDAY(TODAY()-1)+4),1,1)-MOD((DATE(YEAR(TODAY()-WEEKDAY(TODAY()-1)+4),1,1)-2),7)+(7*IF(MOD((DATE(YEAR(TODAY()-WEEKDAY(TODAY()-1)+4),1,1)-2),7)&gt;3,1,0))+7) )-_xlfn.ISOWEEKNUM(NOW())</f>
        <v>-20</v>
      </c>
      <c r="J379" s="345"/>
    </row>
    <row r="380" spans="1:10">
      <c r="A380" s="6" t="s">
        <v>4</v>
      </c>
      <c r="B380" s="6" t="str">
        <f>VLOOKUP(A380,Fleet[],2,FALSE)</f>
        <v>Intel</v>
      </c>
      <c r="C380" s="160">
        <v>45774</v>
      </c>
      <c r="D380" s="346">
        <f>YEAR(DATE(YEAR(Runhours_Table[[#This Row],[Date]]-WEEKDAY(Runhours_Table[[#This Row],[Date]]-1)+4),1,1)-MOD((DATE(YEAR(Runhours_Table[[#This Row],[Date]]-WEEKDAY(Runhours_Table[[#This Row],[Date]]-1)+4),1,1)-2),7)+(7*IF(MOD((DATE(YEAR(Runhours_Table[[#This Row],[Date]]-WEEKDAY(Runhours_Table[[#This Row],[Date]]-1)+4),1,1)-2),7)&gt;3,1,0))+7)</f>
        <v>2025</v>
      </c>
      <c r="E380" s="164">
        <f>_xlfn.ISOWEEKNUM(Runhours_Table[[#This Row],[Date]])</f>
        <v>17</v>
      </c>
      <c r="F380" s="160" t="str">
        <f>RIGHT(YEAR(Runhours_Table[[#This Row],[Date]]),2)&amp;TEXT(_xlfn.ISOWEEKNUM(Runhours_Table[[#This Row],[Date]]),"00")</f>
        <v>2517</v>
      </c>
      <c r="G380" s="31">
        <v>16.504999999999999</v>
      </c>
      <c r="H380" s="38">
        <v>21.15</v>
      </c>
      <c r="I380" s="38">
        <f ca="1">_xlfn.ISOWEEKNUM(Runhours_Table[[#This Row],[Date]])+52*(Runhours_Table[[#This Row],[Year]]-YEAR(DATE(YEAR(TODAY()-WEEKDAY(TODAY()-1)+4),1,1)-MOD((DATE(YEAR(TODAY()-WEEKDAY(TODAY()-1)+4),1,1)-2),7)+(7*IF(MOD((DATE(YEAR(TODAY()-WEEKDAY(TODAY()-1)+4),1,1)-2),7)&gt;3,1,0))+7) )-_xlfn.ISOWEEKNUM(NOW())</f>
        <v>-20</v>
      </c>
      <c r="J380" s="345"/>
    </row>
    <row r="381" spans="1:10">
      <c r="A381" s="6" t="s">
        <v>7</v>
      </c>
      <c r="B381" s="6" t="str">
        <f>VLOOKUP(A381,Fleet[],2,FALSE)</f>
        <v>Intel</v>
      </c>
      <c r="C381" s="160">
        <v>45774</v>
      </c>
      <c r="D381" s="346">
        <f>YEAR(DATE(YEAR(Runhours_Table[[#This Row],[Date]]-WEEKDAY(Runhours_Table[[#This Row],[Date]]-1)+4),1,1)-MOD((DATE(YEAR(Runhours_Table[[#This Row],[Date]]-WEEKDAY(Runhours_Table[[#This Row],[Date]]-1)+4),1,1)-2),7)+(7*IF(MOD((DATE(YEAR(Runhours_Table[[#This Row],[Date]]-WEEKDAY(Runhours_Table[[#This Row],[Date]]-1)+4),1,1)-2),7)&gt;3,1,0))+7)</f>
        <v>2025</v>
      </c>
      <c r="E381" s="164">
        <f>_xlfn.ISOWEEKNUM(Runhours_Table[[#This Row],[Date]])</f>
        <v>17</v>
      </c>
      <c r="F381" s="160" t="str">
        <f>RIGHT(YEAR(Runhours_Table[[#This Row],[Date]]),2)&amp;TEXT(_xlfn.ISOWEEKNUM(Runhours_Table[[#This Row],[Date]]),"00")</f>
        <v>2517</v>
      </c>
      <c r="G381" s="31"/>
      <c r="H381" s="38">
        <v>0</v>
      </c>
      <c r="I381" s="38">
        <f ca="1">_xlfn.ISOWEEKNUM(Runhours_Table[[#This Row],[Date]])+52*(Runhours_Table[[#This Row],[Year]]-YEAR(DATE(YEAR(TODAY()-WEEKDAY(TODAY()-1)+4),1,1)-MOD((DATE(YEAR(TODAY()-WEEKDAY(TODAY()-1)+4),1,1)-2),7)+(7*IF(MOD((DATE(YEAR(TODAY()-WEEKDAY(TODAY()-1)+4),1,1)-2),7)&gt;3,1,0))+7) )-_xlfn.ISOWEEKNUM(NOW())</f>
        <v>-20</v>
      </c>
      <c r="J381" s="345"/>
    </row>
    <row r="382" spans="1:10">
      <c r="A382" s="6" t="s">
        <v>4</v>
      </c>
      <c r="B382" s="6" t="str">
        <f>VLOOKUP(A382,Fleet[],2,FALSE)</f>
        <v>Intel</v>
      </c>
      <c r="C382" s="160">
        <v>45775</v>
      </c>
      <c r="D382" s="346">
        <f>YEAR(DATE(YEAR(Runhours_Table[[#This Row],[Date]]-WEEKDAY(Runhours_Table[[#This Row],[Date]]-1)+4),1,1)-MOD((DATE(YEAR(Runhours_Table[[#This Row],[Date]]-WEEKDAY(Runhours_Table[[#This Row],[Date]]-1)+4),1,1)-2),7)+(7*IF(MOD((DATE(YEAR(Runhours_Table[[#This Row],[Date]]-WEEKDAY(Runhours_Table[[#This Row],[Date]]-1)+4),1,1)-2),7)&gt;3,1,0))+7)</f>
        <v>2025</v>
      </c>
      <c r="E382" s="164">
        <f>_xlfn.ISOWEEKNUM(Runhours_Table[[#This Row],[Date]])</f>
        <v>18</v>
      </c>
      <c r="F382" s="160" t="str">
        <f>RIGHT(YEAR(Runhours_Table[[#This Row],[Date]]),2)&amp;TEXT(_xlfn.ISOWEEKNUM(Runhours_Table[[#This Row],[Date]]),"00")</f>
        <v>2518</v>
      </c>
      <c r="G382" s="31">
        <v>8.391667</v>
      </c>
      <c r="H382" s="38">
        <v>14.516667</v>
      </c>
      <c r="I382" s="38">
        <f ca="1">_xlfn.ISOWEEKNUM(Runhours_Table[[#This Row],[Date]])+52*(Runhours_Table[[#This Row],[Year]]-YEAR(DATE(YEAR(TODAY()-WEEKDAY(TODAY()-1)+4),1,1)-MOD((DATE(YEAR(TODAY()-WEEKDAY(TODAY()-1)+4),1,1)-2),7)+(7*IF(MOD((DATE(YEAR(TODAY()-WEEKDAY(TODAY()-1)+4),1,1)-2),7)&gt;3,1,0))+7) )-_xlfn.ISOWEEKNUM(NOW())</f>
        <v>-19</v>
      </c>
      <c r="J382" s="345"/>
    </row>
    <row r="383" spans="1:10">
      <c r="A383" s="6" t="s">
        <v>7</v>
      </c>
      <c r="B383" s="6" t="str">
        <f>VLOOKUP(A383,Fleet[],2,FALSE)</f>
        <v>Intel</v>
      </c>
      <c r="C383" s="160">
        <v>45775</v>
      </c>
      <c r="D383" s="346">
        <f>YEAR(DATE(YEAR(Runhours_Table[[#This Row],[Date]]-WEEKDAY(Runhours_Table[[#This Row],[Date]]-1)+4),1,1)-MOD((DATE(YEAR(Runhours_Table[[#This Row],[Date]]-WEEKDAY(Runhours_Table[[#This Row],[Date]]-1)+4),1,1)-2),7)+(7*IF(MOD((DATE(YEAR(Runhours_Table[[#This Row],[Date]]-WEEKDAY(Runhours_Table[[#This Row],[Date]]-1)+4),1,1)-2),7)&gt;3,1,0))+7)</f>
        <v>2025</v>
      </c>
      <c r="E383" s="164">
        <f>_xlfn.ISOWEEKNUM(Runhours_Table[[#This Row],[Date]])</f>
        <v>18</v>
      </c>
      <c r="F383" s="160" t="str">
        <f>RIGHT(YEAR(Runhours_Table[[#This Row],[Date]]),2)&amp;TEXT(_xlfn.ISOWEEKNUM(Runhours_Table[[#This Row],[Date]]),"00")</f>
        <v>2518</v>
      </c>
      <c r="G383" s="31">
        <v>0.33638899999999999</v>
      </c>
      <c r="H383" s="38">
        <v>1.483333</v>
      </c>
      <c r="I383" s="38">
        <f ca="1">_xlfn.ISOWEEKNUM(Runhours_Table[[#This Row],[Date]])+52*(Runhours_Table[[#This Row],[Year]]-YEAR(DATE(YEAR(TODAY()-WEEKDAY(TODAY()-1)+4),1,1)-MOD((DATE(YEAR(TODAY()-WEEKDAY(TODAY()-1)+4),1,1)-2),7)+(7*IF(MOD((DATE(YEAR(TODAY()-WEEKDAY(TODAY()-1)+4),1,1)-2),7)&gt;3,1,0))+7) )-_xlfn.ISOWEEKNUM(NOW())</f>
        <v>-19</v>
      </c>
      <c r="J383" s="345"/>
    </row>
    <row r="384" spans="1:10">
      <c r="A384" s="6" t="s">
        <v>4</v>
      </c>
      <c r="B384" s="6" t="str">
        <f>VLOOKUP(A384,Fleet[],2,FALSE)</f>
        <v>Intel</v>
      </c>
      <c r="C384" s="160">
        <v>45776</v>
      </c>
      <c r="D384" s="346">
        <f>YEAR(DATE(YEAR(Runhours_Table[[#This Row],[Date]]-WEEKDAY(Runhours_Table[[#This Row],[Date]]-1)+4),1,1)-MOD((DATE(YEAR(Runhours_Table[[#This Row],[Date]]-WEEKDAY(Runhours_Table[[#This Row],[Date]]-1)+4),1,1)-2),7)+(7*IF(MOD((DATE(YEAR(Runhours_Table[[#This Row],[Date]]-WEEKDAY(Runhours_Table[[#This Row],[Date]]-1)+4),1,1)-2),7)&gt;3,1,0))+7)</f>
        <v>2025</v>
      </c>
      <c r="E384" s="164">
        <f>_xlfn.ISOWEEKNUM(Runhours_Table[[#This Row],[Date]])</f>
        <v>18</v>
      </c>
      <c r="F384" s="160" t="str">
        <f>RIGHT(YEAR(Runhours_Table[[#This Row],[Date]]),2)&amp;TEXT(_xlfn.ISOWEEKNUM(Runhours_Table[[#This Row],[Date]]),"00")</f>
        <v>2518</v>
      </c>
      <c r="G384" s="31">
        <v>16.277221999999998</v>
      </c>
      <c r="H384" s="38">
        <v>22.266665999999997</v>
      </c>
      <c r="I384" s="38">
        <f ca="1">_xlfn.ISOWEEKNUM(Runhours_Table[[#This Row],[Date]])+52*(Runhours_Table[[#This Row],[Year]]-YEAR(DATE(YEAR(TODAY()-WEEKDAY(TODAY()-1)+4),1,1)-MOD((DATE(YEAR(TODAY()-WEEKDAY(TODAY()-1)+4),1,1)-2),7)+(7*IF(MOD((DATE(YEAR(TODAY()-WEEKDAY(TODAY()-1)+4),1,1)-2),7)&gt;3,1,0))+7) )-_xlfn.ISOWEEKNUM(NOW())</f>
        <v>-19</v>
      </c>
      <c r="J384" s="345"/>
    </row>
    <row r="385" spans="1:10">
      <c r="A385" s="6" t="s">
        <v>7</v>
      </c>
      <c r="B385" s="6" t="str">
        <f>VLOOKUP(A385,Fleet[],2,FALSE)</f>
        <v>Intel</v>
      </c>
      <c r="C385" s="160">
        <v>45776</v>
      </c>
      <c r="D385" s="346">
        <f>YEAR(DATE(YEAR(Runhours_Table[[#This Row],[Date]]-WEEKDAY(Runhours_Table[[#This Row],[Date]]-1)+4),1,1)-MOD((DATE(YEAR(Runhours_Table[[#This Row],[Date]]-WEEKDAY(Runhours_Table[[#This Row],[Date]]-1)+4),1,1)-2),7)+(7*IF(MOD((DATE(YEAR(Runhours_Table[[#This Row],[Date]]-WEEKDAY(Runhours_Table[[#This Row],[Date]]-1)+4),1,1)-2),7)&gt;3,1,0))+7)</f>
        <v>2025</v>
      </c>
      <c r="E385" s="164">
        <f>_xlfn.ISOWEEKNUM(Runhours_Table[[#This Row],[Date]])</f>
        <v>18</v>
      </c>
      <c r="F385" s="160" t="str">
        <f>RIGHT(YEAR(Runhours_Table[[#This Row],[Date]]),2)&amp;TEXT(_xlfn.ISOWEEKNUM(Runhours_Table[[#This Row],[Date]]),"00")</f>
        <v>2518</v>
      </c>
      <c r="G385" s="31">
        <v>0.14361099999999999</v>
      </c>
      <c r="H385" s="38">
        <v>1.4666669999999999</v>
      </c>
      <c r="I385" s="38">
        <f ca="1">_xlfn.ISOWEEKNUM(Runhours_Table[[#This Row],[Date]])+52*(Runhours_Table[[#This Row],[Year]]-YEAR(DATE(YEAR(TODAY()-WEEKDAY(TODAY()-1)+4),1,1)-MOD((DATE(YEAR(TODAY()-WEEKDAY(TODAY()-1)+4),1,1)-2),7)+(7*IF(MOD((DATE(YEAR(TODAY()-WEEKDAY(TODAY()-1)+4),1,1)-2),7)&gt;3,1,0))+7) )-_xlfn.ISOWEEKNUM(NOW())</f>
        <v>-19</v>
      </c>
      <c r="J385" s="345"/>
    </row>
    <row r="386" spans="1:10">
      <c r="A386" s="6" t="s">
        <v>4</v>
      </c>
      <c r="B386" s="6" t="str">
        <f>VLOOKUP(A386,Fleet[],2,FALSE)</f>
        <v>Intel</v>
      </c>
      <c r="C386" s="160">
        <v>45777</v>
      </c>
      <c r="D386" s="346">
        <f>YEAR(DATE(YEAR(Runhours_Table[[#This Row],[Date]]-WEEKDAY(Runhours_Table[[#This Row],[Date]]-1)+4),1,1)-MOD((DATE(YEAR(Runhours_Table[[#This Row],[Date]]-WEEKDAY(Runhours_Table[[#This Row],[Date]]-1)+4),1,1)-2),7)+(7*IF(MOD((DATE(YEAR(Runhours_Table[[#This Row],[Date]]-WEEKDAY(Runhours_Table[[#This Row],[Date]]-1)+4),1,1)-2),7)&gt;3,1,0))+7)</f>
        <v>2025</v>
      </c>
      <c r="E386" s="164">
        <f>_xlfn.ISOWEEKNUM(Runhours_Table[[#This Row],[Date]])</f>
        <v>18</v>
      </c>
      <c r="F386" s="160" t="str">
        <f>RIGHT(YEAR(Runhours_Table[[#This Row],[Date]]),2)&amp;TEXT(_xlfn.ISOWEEKNUM(Runhours_Table[[#This Row],[Date]]),"00")</f>
        <v>2518</v>
      </c>
      <c r="G386" s="31">
        <v>13.138056000000001</v>
      </c>
      <c r="H386" s="38">
        <v>16.183334000000002</v>
      </c>
      <c r="I386" s="38">
        <f ca="1">_xlfn.ISOWEEKNUM(Runhours_Table[[#This Row],[Date]])+52*(Runhours_Table[[#This Row],[Year]]-YEAR(DATE(YEAR(TODAY()-WEEKDAY(TODAY()-1)+4),1,1)-MOD((DATE(YEAR(TODAY()-WEEKDAY(TODAY()-1)+4),1,1)-2),7)+(7*IF(MOD((DATE(YEAR(TODAY()-WEEKDAY(TODAY()-1)+4),1,1)-2),7)&gt;3,1,0))+7) )-_xlfn.ISOWEEKNUM(NOW())</f>
        <v>-19</v>
      </c>
      <c r="J386" s="345"/>
    </row>
    <row r="387" spans="1:10">
      <c r="A387" s="6" t="s">
        <v>7</v>
      </c>
      <c r="B387" s="6" t="str">
        <f>VLOOKUP(A387,Fleet[],2,FALSE)</f>
        <v>Intel</v>
      </c>
      <c r="C387" s="160">
        <v>45777</v>
      </c>
      <c r="D387" s="346">
        <f>YEAR(DATE(YEAR(Runhours_Table[[#This Row],[Date]]-WEEKDAY(Runhours_Table[[#This Row],[Date]]-1)+4),1,1)-MOD((DATE(YEAR(Runhours_Table[[#This Row],[Date]]-WEEKDAY(Runhours_Table[[#This Row],[Date]]-1)+4),1,1)-2),7)+(7*IF(MOD((DATE(YEAR(Runhours_Table[[#This Row],[Date]]-WEEKDAY(Runhours_Table[[#This Row],[Date]]-1)+4),1,1)-2),7)&gt;3,1,0))+7)</f>
        <v>2025</v>
      </c>
      <c r="E387" s="164">
        <f>_xlfn.ISOWEEKNUM(Runhours_Table[[#This Row],[Date]])</f>
        <v>18</v>
      </c>
      <c r="F387" s="160" t="str">
        <f>RIGHT(YEAR(Runhours_Table[[#This Row],[Date]]),2)&amp;TEXT(_xlfn.ISOWEEKNUM(Runhours_Table[[#This Row],[Date]]),"00")</f>
        <v>2518</v>
      </c>
      <c r="G387" s="31">
        <v>6.2938890000000001</v>
      </c>
      <c r="H387" s="38">
        <v>8.6333330000000004</v>
      </c>
      <c r="I387" s="38">
        <f ca="1">_xlfn.ISOWEEKNUM(Runhours_Table[[#This Row],[Date]])+52*(Runhours_Table[[#This Row],[Year]]-YEAR(DATE(YEAR(TODAY()-WEEKDAY(TODAY()-1)+4),1,1)-MOD((DATE(YEAR(TODAY()-WEEKDAY(TODAY()-1)+4),1,1)-2),7)+(7*IF(MOD((DATE(YEAR(TODAY()-WEEKDAY(TODAY()-1)+4),1,1)-2),7)&gt;3,1,0))+7) )-_xlfn.ISOWEEKNUM(NOW())</f>
        <v>-19</v>
      </c>
      <c r="J387" s="345"/>
    </row>
    <row r="388" spans="1:10">
      <c r="A388" s="39" t="s">
        <v>4</v>
      </c>
      <c r="B388" s="6" t="str">
        <f>VLOOKUP(A388,Fleet[],2,FALSE)</f>
        <v>Intel</v>
      </c>
      <c r="C388" s="162">
        <v>45778</v>
      </c>
      <c r="D388" s="346">
        <f>YEAR(DATE(YEAR(Runhours_Table[[#This Row],[Date]]-WEEKDAY(Runhours_Table[[#This Row],[Date]]-1)+4),1,1)-MOD((DATE(YEAR(Runhours_Table[[#This Row],[Date]]-WEEKDAY(Runhours_Table[[#This Row],[Date]]-1)+4),1,1)-2),7)+(7*IF(MOD((DATE(YEAR(Runhours_Table[[#This Row],[Date]]-WEEKDAY(Runhours_Table[[#This Row],[Date]]-1)+4),1,1)-2),7)&gt;3,1,0))+7)</f>
        <v>2025</v>
      </c>
      <c r="E388" s="164">
        <f>_xlfn.ISOWEEKNUM(Runhours_Table[[#This Row],[Date]])</f>
        <v>18</v>
      </c>
      <c r="F388" s="160" t="str">
        <f>RIGHT(YEAR(Runhours_Table[[#This Row],[Date]]),2)&amp;TEXT(_xlfn.ISOWEEKNUM(Runhours_Table[[#This Row],[Date]]),"00")</f>
        <v>2518</v>
      </c>
      <c r="G388" s="159">
        <v>8.4588889999999992</v>
      </c>
      <c r="H388" s="38">
        <v>10.916666999999999</v>
      </c>
      <c r="I388" s="38">
        <f ca="1">_xlfn.ISOWEEKNUM(Runhours_Table[[#This Row],[Date]])+52*(Runhours_Table[[#This Row],[Year]]-YEAR(DATE(YEAR(TODAY()-WEEKDAY(TODAY()-1)+4),1,1)-MOD((DATE(YEAR(TODAY()-WEEKDAY(TODAY()-1)+4),1,1)-2),7)+(7*IF(MOD((DATE(YEAR(TODAY()-WEEKDAY(TODAY()-1)+4),1,1)-2),7)&gt;3,1,0))+7) )-_xlfn.ISOWEEKNUM(NOW())</f>
        <v>-19</v>
      </c>
      <c r="J388" s="345"/>
    </row>
    <row r="389" spans="1:10">
      <c r="A389" s="6" t="s">
        <v>7</v>
      </c>
      <c r="B389" s="6" t="str">
        <f>VLOOKUP(A389,Fleet[],2,FALSE)</f>
        <v>Intel</v>
      </c>
      <c r="C389" s="161">
        <v>45778</v>
      </c>
      <c r="D389" s="346">
        <f>YEAR(DATE(YEAR(Runhours_Table[[#This Row],[Date]]-WEEKDAY(Runhours_Table[[#This Row],[Date]]-1)+4),1,1)-MOD((DATE(YEAR(Runhours_Table[[#This Row],[Date]]-WEEKDAY(Runhours_Table[[#This Row],[Date]]-1)+4),1,1)-2),7)+(7*IF(MOD((DATE(YEAR(Runhours_Table[[#This Row],[Date]]-WEEKDAY(Runhours_Table[[#This Row],[Date]]-1)+4),1,1)-2),7)&gt;3,1,0))+7)</f>
        <v>2025</v>
      </c>
      <c r="E389" s="164">
        <f>_xlfn.ISOWEEKNUM(Runhours_Table[[#This Row],[Date]])</f>
        <v>18</v>
      </c>
      <c r="F389" s="160" t="str">
        <f>RIGHT(YEAR(Runhours_Table[[#This Row],[Date]]),2)&amp;TEXT(_xlfn.ISOWEEKNUM(Runhours_Table[[#This Row],[Date]]),"00")</f>
        <v>2518</v>
      </c>
      <c r="G389" s="31">
        <v>11.599444</v>
      </c>
      <c r="H389" s="38">
        <v>22.366666000000002</v>
      </c>
      <c r="I389" s="38">
        <f ca="1">_xlfn.ISOWEEKNUM(Runhours_Table[[#This Row],[Date]])+52*(Runhours_Table[[#This Row],[Year]]-YEAR(DATE(YEAR(TODAY()-WEEKDAY(TODAY()-1)+4),1,1)-MOD((DATE(YEAR(TODAY()-WEEKDAY(TODAY()-1)+4),1,1)-2),7)+(7*IF(MOD((DATE(YEAR(TODAY()-WEEKDAY(TODAY()-1)+4),1,1)-2),7)&gt;3,1,0))+7) )-_xlfn.ISOWEEKNUM(NOW())</f>
        <v>-19</v>
      </c>
      <c r="J389" s="345"/>
    </row>
    <row r="390" spans="1:10">
      <c r="A390" s="6" t="s">
        <v>4</v>
      </c>
      <c r="B390" s="6" t="str">
        <f>VLOOKUP(A390,Fleet[],2,FALSE)</f>
        <v>Intel</v>
      </c>
      <c r="C390" s="161">
        <v>45779</v>
      </c>
      <c r="D390" s="346">
        <f>YEAR(DATE(YEAR(Runhours_Table[[#This Row],[Date]]-WEEKDAY(Runhours_Table[[#This Row],[Date]]-1)+4),1,1)-MOD((DATE(YEAR(Runhours_Table[[#This Row],[Date]]-WEEKDAY(Runhours_Table[[#This Row],[Date]]-1)+4),1,1)-2),7)+(7*IF(MOD((DATE(YEAR(Runhours_Table[[#This Row],[Date]]-WEEKDAY(Runhours_Table[[#This Row],[Date]]-1)+4),1,1)-2),7)&gt;3,1,0))+7)</f>
        <v>2025</v>
      </c>
      <c r="E390" s="164">
        <f>_xlfn.ISOWEEKNUM(Runhours_Table[[#This Row],[Date]])</f>
        <v>18</v>
      </c>
      <c r="F390" s="160" t="str">
        <f>RIGHT(YEAR(Runhours_Table[[#This Row],[Date]]),2)&amp;TEXT(_xlfn.ISOWEEKNUM(Runhours_Table[[#This Row],[Date]]),"00")</f>
        <v>2518</v>
      </c>
      <c r="G390" s="31">
        <v>15.691110999999999</v>
      </c>
      <c r="H390" s="38">
        <v>21.333333</v>
      </c>
      <c r="I390" s="38">
        <f ca="1">_xlfn.ISOWEEKNUM(Runhours_Table[[#This Row],[Date]])+52*(Runhours_Table[[#This Row],[Year]]-YEAR(DATE(YEAR(TODAY()-WEEKDAY(TODAY()-1)+4),1,1)-MOD((DATE(YEAR(TODAY()-WEEKDAY(TODAY()-1)+4),1,1)-2),7)+(7*IF(MOD((DATE(YEAR(TODAY()-WEEKDAY(TODAY()-1)+4),1,1)-2),7)&gt;3,1,0))+7) )-_xlfn.ISOWEEKNUM(NOW())</f>
        <v>-19</v>
      </c>
      <c r="J390" s="345"/>
    </row>
    <row r="391" spans="1:10">
      <c r="A391" s="6" t="s">
        <v>7</v>
      </c>
      <c r="B391" s="6" t="str">
        <f>VLOOKUP(A391,Fleet[],2,FALSE)</f>
        <v>Intel</v>
      </c>
      <c r="C391" s="161">
        <v>45779</v>
      </c>
      <c r="D391" s="346">
        <f>YEAR(DATE(YEAR(Runhours_Table[[#This Row],[Date]]-WEEKDAY(Runhours_Table[[#This Row],[Date]]-1)+4),1,1)-MOD((DATE(YEAR(Runhours_Table[[#This Row],[Date]]-WEEKDAY(Runhours_Table[[#This Row],[Date]]-1)+4),1,1)-2),7)+(7*IF(MOD((DATE(YEAR(Runhours_Table[[#This Row],[Date]]-WEEKDAY(Runhours_Table[[#This Row],[Date]]-1)+4),1,1)-2),7)&gt;3,1,0))+7)</f>
        <v>2025</v>
      </c>
      <c r="E391" s="164">
        <f>_xlfn.ISOWEEKNUM(Runhours_Table[[#This Row],[Date]])</f>
        <v>18</v>
      </c>
      <c r="F391" s="160" t="str">
        <f>RIGHT(YEAR(Runhours_Table[[#This Row],[Date]]),2)&amp;TEXT(_xlfn.ISOWEEKNUM(Runhours_Table[[#This Row],[Date]]),"00")</f>
        <v>2518</v>
      </c>
      <c r="G391" s="31">
        <v>14.588333</v>
      </c>
      <c r="H391" s="38">
        <v>22.45</v>
      </c>
      <c r="I391" s="38">
        <f ca="1">_xlfn.ISOWEEKNUM(Runhours_Table[[#This Row],[Date]])+52*(Runhours_Table[[#This Row],[Year]]-YEAR(DATE(YEAR(TODAY()-WEEKDAY(TODAY()-1)+4),1,1)-MOD((DATE(YEAR(TODAY()-WEEKDAY(TODAY()-1)+4),1,1)-2),7)+(7*IF(MOD((DATE(YEAR(TODAY()-WEEKDAY(TODAY()-1)+4),1,1)-2),7)&gt;3,1,0))+7) )-_xlfn.ISOWEEKNUM(NOW())</f>
        <v>-19</v>
      </c>
      <c r="J391" s="345"/>
    </row>
    <row r="392" spans="1:10">
      <c r="A392" s="6" t="s">
        <v>4</v>
      </c>
      <c r="B392" s="6" t="str">
        <f>VLOOKUP(A392,Fleet[],2,FALSE)</f>
        <v>Intel</v>
      </c>
      <c r="C392" s="161">
        <v>45780</v>
      </c>
      <c r="D392" s="346">
        <f>YEAR(DATE(YEAR(Runhours_Table[[#This Row],[Date]]-WEEKDAY(Runhours_Table[[#This Row],[Date]]-1)+4),1,1)-MOD((DATE(YEAR(Runhours_Table[[#This Row],[Date]]-WEEKDAY(Runhours_Table[[#This Row],[Date]]-1)+4),1,1)-2),7)+(7*IF(MOD((DATE(YEAR(Runhours_Table[[#This Row],[Date]]-WEEKDAY(Runhours_Table[[#This Row],[Date]]-1)+4),1,1)-2),7)&gt;3,1,0))+7)</f>
        <v>2025</v>
      </c>
      <c r="E392" s="164">
        <f>_xlfn.ISOWEEKNUM(Runhours_Table[[#This Row],[Date]])</f>
        <v>18</v>
      </c>
      <c r="F392" s="160" t="str">
        <f>RIGHT(YEAR(Runhours_Table[[#This Row],[Date]]),2)&amp;TEXT(_xlfn.ISOWEEKNUM(Runhours_Table[[#This Row],[Date]]),"00")</f>
        <v>2518</v>
      </c>
      <c r="G392" s="31">
        <v>14.143611</v>
      </c>
      <c r="H392" s="38">
        <v>19.633333</v>
      </c>
      <c r="I392" s="38">
        <f ca="1">_xlfn.ISOWEEKNUM(Runhours_Table[[#This Row],[Date]])+52*(Runhours_Table[[#This Row],[Year]]-YEAR(DATE(YEAR(TODAY()-WEEKDAY(TODAY()-1)+4),1,1)-MOD((DATE(YEAR(TODAY()-WEEKDAY(TODAY()-1)+4),1,1)-2),7)+(7*IF(MOD((DATE(YEAR(TODAY()-WEEKDAY(TODAY()-1)+4),1,1)-2),7)&gt;3,1,0))+7) )-_xlfn.ISOWEEKNUM(NOW())</f>
        <v>-19</v>
      </c>
      <c r="J392" s="345"/>
    </row>
    <row r="393" spans="1:10">
      <c r="A393" s="6" t="s">
        <v>7</v>
      </c>
      <c r="B393" s="6" t="str">
        <f>VLOOKUP(A393,Fleet[],2,FALSE)</f>
        <v>Intel</v>
      </c>
      <c r="C393" s="161">
        <v>45780</v>
      </c>
      <c r="D393" s="346">
        <f>YEAR(DATE(YEAR(Runhours_Table[[#This Row],[Date]]-WEEKDAY(Runhours_Table[[#This Row],[Date]]-1)+4),1,1)-MOD((DATE(YEAR(Runhours_Table[[#This Row],[Date]]-WEEKDAY(Runhours_Table[[#This Row],[Date]]-1)+4),1,1)-2),7)+(7*IF(MOD((DATE(YEAR(Runhours_Table[[#This Row],[Date]]-WEEKDAY(Runhours_Table[[#This Row],[Date]]-1)+4),1,1)-2),7)&gt;3,1,0))+7)</f>
        <v>2025</v>
      </c>
      <c r="E393" s="164">
        <f>_xlfn.ISOWEEKNUM(Runhours_Table[[#This Row],[Date]])</f>
        <v>18</v>
      </c>
      <c r="F393" s="160" t="str">
        <f>RIGHT(YEAR(Runhours_Table[[#This Row],[Date]]),2)&amp;TEXT(_xlfn.ISOWEEKNUM(Runhours_Table[[#This Row],[Date]]),"00")</f>
        <v>2518</v>
      </c>
      <c r="G393" s="31">
        <v>16.153888999999999</v>
      </c>
      <c r="H393" s="38">
        <v>20.633333</v>
      </c>
      <c r="I393" s="38">
        <f ca="1">_xlfn.ISOWEEKNUM(Runhours_Table[[#This Row],[Date]])+52*(Runhours_Table[[#This Row],[Year]]-YEAR(DATE(YEAR(TODAY()-WEEKDAY(TODAY()-1)+4),1,1)-MOD((DATE(YEAR(TODAY()-WEEKDAY(TODAY()-1)+4),1,1)-2),7)+(7*IF(MOD((DATE(YEAR(TODAY()-WEEKDAY(TODAY()-1)+4),1,1)-2),7)&gt;3,1,0))+7) )-_xlfn.ISOWEEKNUM(NOW())</f>
        <v>-19</v>
      </c>
      <c r="J393" s="345"/>
    </row>
    <row r="394" spans="1:10">
      <c r="A394" s="6" t="s">
        <v>4</v>
      </c>
      <c r="B394" s="6" t="str">
        <f>VLOOKUP(A394,Fleet[],2,FALSE)</f>
        <v>Intel</v>
      </c>
      <c r="C394" s="161">
        <v>45781</v>
      </c>
      <c r="D394" s="346">
        <f>YEAR(DATE(YEAR(Runhours_Table[[#This Row],[Date]]-WEEKDAY(Runhours_Table[[#This Row],[Date]]-1)+4),1,1)-MOD((DATE(YEAR(Runhours_Table[[#This Row],[Date]]-WEEKDAY(Runhours_Table[[#This Row],[Date]]-1)+4),1,1)-2),7)+(7*IF(MOD((DATE(YEAR(Runhours_Table[[#This Row],[Date]]-WEEKDAY(Runhours_Table[[#This Row],[Date]]-1)+4),1,1)-2),7)&gt;3,1,0))+7)</f>
        <v>2025</v>
      </c>
      <c r="E394" s="164">
        <f>_xlfn.ISOWEEKNUM(Runhours_Table[[#This Row],[Date]])</f>
        <v>18</v>
      </c>
      <c r="F394" s="160" t="str">
        <f>RIGHT(YEAR(Runhours_Table[[#This Row],[Date]]),2)&amp;TEXT(_xlfn.ISOWEEKNUM(Runhours_Table[[#This Row],[Date]]),"00")</f>
        <v>2518</v>
      </c>
      <c r="G394" s="31">
        <v>7.9233330000000004</v>
      </c>
      <c r="H394" s="38">
        <v>18.566666000000001</v>
      </c>
      <c r="I394" s="38">
        <f ca="1">_xlfn.ISOWEEKNUM(Runhours_Table[[#This Row],[Date]])+52*(Runhours_Table[[#This Row],[Year]]-YEAR(DATE(YEAR(TODAY()-WEEKDAY(TODAY()-1)+4),1,1)-MOD((DATE(YEAR(TODAY()-WEEKDAY(TODAY()-1)+4),1,1)-2),7)+(7*IF(MOD((DATE(YEAR(TODAY()-WEEKDAY(TODAY()-1)+4),1,1)-2),7)&gt;3,1,0))+7) )-_xlfn.ISOWEEKNUM(NOW())</f>
        <v>-19</v>
      </c>
      <c r="J394" s="345"/>
    </row>
    <row r="395" spans="1:10">
      <c r="A395" s="6" t="s">
        <v>7</v>
      </c>
      <c r="B395" s="6" t="str">
        <f>VLOOKUP(A395,Fleet[],2,FALSE)</f>
        <v>Intel</v>
      </c>
      <c r="C395" s="161">
        <v>45781</v>
      </c>
      <c r="D395" s="346">
        <f>YEAR(DATE(YEAR(Runhours_Table[[#This Row],[Date]]-WEEKDAY(Runhours_Table[[#This Row],[Date]]-1)+4),1,1)-MOD((DATE(YEAR(Runhours_Table[[#This Row],[Date]]-WEEKDAY(Runhours_Table[[#This Row],[Date]]-1)+4),1,1)-2),7)+(7*IF(MOD((DATE(YEAR(Runhours_Table[[#This Row],[Date]]-WEEKDAY(Runhours_Table[[#This Row],[Date]]-1)+4),1,1)-2),7)&gt;3,1,0))+7)</f>
        <v>2025</v>
      </c>
      <c r="E395" s="164">
        <f>_xlfn.ISOWEEKNUM(Runhours_Table[[#This Row],[Date]])</f>
        <v>18</v>
      </c>
      <c r="F395" s="160" t="str">
        <f>RIGHT(YEAR(Runhours_Table[[#This Row],[Date]]),2)&amp;TEXT(_xlfn.ISOWEEKNUM(Runhours_Table[[#This Row],[Date]]),"00")</f>
        <v>2518</v>
      </c>
      <c r="G395" s="31">
        <v>17.631944000000001</v>
      </c>
      <c r="H395" s="38">
        <v>22.233333000000002</v>
      </c>
      <c r="I395" s="38">
        <f ca="1">_xlfn.ISOWEEKNUM(Runhours_Table[[#This Row],[Date]])+52*(Runhours_Table[[#This Row],[Year]]-YEAR(DATE(YEAR(TODAY()-WEEKDAY(TODAY()-1)+4),1,1)-MOD((DATE(YEAR(TODAY()-WEEKDAY(TODAY()-1)+4),1,1)-2),7)+(7*IF(MOD((DATE(YEAR(TODAY()-WEEKDAY(TODAY()-1)+4),1,1)-2),7)&gt;3,1,0))+7) )-_xlfn.ISOWEEKNUM(NOW())</f>
        <v>-19</v>
      </c>
      <c r="J395" s="345"/>
    </row>
    <row r="396" spans="1:10">
      <c r="A396" s="6" t="s">
        <v>4</v>
      </c>
      <c r="B396" s="6" t="str">
        <f>VLOOKUP(A396,Fleet[],2,FALSE)</f>
        <v>Intel</v>
      </c>
      <c r="C396" s="161">
        <v>45782</v>
      </c>
      <c r="D396" s="346">
        <f>YEAR(DATE(YEAR(Runhours_Table[[#This Row],[Date]]-WEEKDAY(Runhours_Table[[#This Row],[Date]]-1)+4),1,1)-MOD((DATE(YEAR(Runhours_Table[[#This Row],[Date]]-WEEKDAY(Runhours_Table[[#This Row],[Date]]-1)+4),1,1)-2),7)+(7*IF(MOD((DATE(YEAR(Runhours_Table[[#This Row],[Date]]-WEEKDAY(Runhours_Table[[#This Row],[Date]]-1)+4),1,1)-2),7)&gt;3,1,0))+7)</f>
        <v>2025</v>
      </c>
      <c r="E396" s="164">
        <f>_xlfn.ISOWEEKNUM(Runhours_Table[[#This Row],[Date]])</f>
        <v>19</v>
      </c>
      <c r="F396" s="160" t="str">
        <f>RIGHT(YEAR(Runhours_Table[[#This Row],[Date]]),2)&amp;TEXT(_xlfn.ISOWEEKNUM(Runhours_Table[[#This Row],[Date]]),"00")</f>
        <v>2519</v>
      </c>
      <c r="G396" s="31"/>
      <c r="H396" s="38">
        <v>0</v>
      </c>
      <c r="I396" s="38">
        <f ca="1">_xlfn.ISOWEEKNUM(Runhours_Table[[#This Row],[Date]])+52*(Runhours_Table[[#This Row],[Year]]-YEAR(DATE(YEAR(TODAY()-WEEKDAY(TODAY()-1)+4),1,1)-MOD((DATE(YEAR(TODAY()-WEEKDAY(TODAY()-1)+4),1,1)-2),7)+(7*IF(MOD((DATE(YEAR(TODAY()-WEEKDAY(TODAY()-1)+4),1,1)-2),7)&gt;3,1,0))+7) )-_xlfn.ISOWEEKNUM(NOW())</f>
        <v>-18</v>
      </c>
      <c r="J396" s="345"/>
    </row>
    <row r="397" spans="1:10">
      <c r="A397" s="6" t="s">
        <v>7</v>
      </c>
      <c r="B397" s="6" t="str">
        <f>VLOOKUP(A397,Fleet[],2,FALSE)</f>
        <v>Intel</v>
      </c>
      <c r="C397" s="161">
        <v>45782</v>
      </c>
      <c r="D397" s="346">
        <f>YEAR(DATE(YEAR(Runhours_Table[[#This Row],[Date]]-WEEKDAY(Runhours_Table[[#This Row],[Date]]-1)+4),1,1)-MOD((DATE(YEAR(Runhours_Table[[#This Row],[Date]]-WEEKDAY(Runhours_Table[[#This Row],[Date]]-1)+4),1,1)-2),7)+(7*IF(MOD((DATE(YEAR(Runhours_Table[[#This Row],[Date]]-WEEKDAY(Runhours_Table[[#This Row],[Date]]-1)+4),1,1)-2),7)&gt;3,1,0))+7)</f>
        <v>2025</v>
      </c>
      <c r="E397" s="164">
        <f>_xlfn.ISOWEEKNUM(Runhours_Table[[#This Row],[Date]])</f>
        <v>19</v>
      </c>
      <c r="F397" s="160" t="str">
        <f>RIGHT(YEAR(Runhours_Table[[#This Row],[Date]]),2)&amp;TEXT(_xlfn.ISOWEEKNUM(Runhours_Table[[#This Row],[Date]]),"00")</f>
        <v>2519</v>
      </c>
      <c r="G397" s="31">
        <v>19.473889</v>
      </c>
      <c r="H397" s="38">
        <v>22.933333000000001</v>
      </c>
      <c r="I397" s="38">
        <f ca="1">_xlfn.ISOWEEKNUM(Runhours_Table[[#This Row],[Date]])+52*(Runhours_Table[[#This Row],[Year]]-YEAR(DATE(YEAR(TODAY()-WEEKDAY(TODAY()-1)+4),1,1)-MOD((DATE(YEAR(TODAY()-WEEKDAY(TODAY()-1)+4),1,1)-2),7)+(7*IF(MOD((DATE(YEAR(TODAY()-WEEKDAY(TODAY()-1)+4),1,1)-2),7)&gt;3,1,0))+7) )-_xlfn.ISOWEEKNUM(NOW())</f>
        <v>-18</v>
      </c>
      <c r="J397" s="345"/>
    </row>
    <row r="398" spans="1:10">
      <c r="A398" s="6" t="s">
        <v>4</v>
      </c>
      <c r="B398" s="6" t="str">
        <f>VLOOKUP(A398,Fleet[],2,FALSE)</f>
        <v>Intel</v>
      </c>
      <c r="C398" s="161">
        <v>45783</v>
      </c>
      <c r="D398" s="346">
        <f>YEAR(DATE(YEAR(Runhours_Table[[#This Row],[Date]]-WEEKDAY(Runhours_Table[[#This Row],[Date]]-1)+4),1,1)-MOD((DATE(YEAR(Runhours_Table[[#This Row],[Date]]-WEEKDAY(Runhours_Table[[#This Row],[Date]]-1)+4),1,1)-2),7)+(7*IF(MOD((DATE(YEAR(Runhours_Table[[#This Row],[Date]]-WEEKDAY(Runhours_Table[[#This Row],[Date]]-1)+4),1,1)-2),7)&gt;3,1,0))+7)</f>
        <v>2025</v>
      </c>
      <c r="E398" s="164">
        <f>_xlfn.ISOWEEKNUM(Runhours_Table[[#This Row],[Date]])</f>
        <v>19</v>
      </c>
      <c r="F398" s="160" t="str">
        <f>RIGHT(YEAR(Runhours_Table[[#This Row],[Date]]),2)&amp;TEXT(_xlfn.ISOWEEKNUM(Runhours_Table[[#This Row],[Date]]),"00")</f>
        <v>2519</v>
      </c>
      <c r="G398" s="31"/>
      <c r="H398" s="38">
        <v>0</v>
      </c>
      <c r="I398" s="38">
        <f ca="1">_xlfn.ISOWEEKNUM(Runhours_Table[[#This Row],[Date]])+52*(Runhours_Table[[#This Row],[Year]]-YEAR(DATE(YEAR(TODAY()-WEEKDAY(TODAY()-1)+4),1,1)-MOD((DATE(YEAR(TODAY()-WEEKDAY(TODAY()-1)+4),1,1)-2),7)+(7*IF(MOD((DATE(YEAR(TODAY()-WEEKDAY(TODAY()-1)+4),1,1)-2),7)&gt;3,1,0))+7) )-_xlfn.ISOWEEKNUM(NOW())</f>
        <v>-18</v>
      </c>
      <c r="J398" s="345"/>
    </row>
    <row r="399" spans="1:10">
      <c r="A399" s="6" t="s">
        <v>7</v>
      </c>
      <c r="B399" s="6" t="str">
        <f>VLOOKUP(A399,Fleet[],2,FALSE)</f>
        <v>Intel</v>
      </c>
      <c r="C399" s="161">
        <v>45783</v>
      </c>
      <c r="D399" s="346">
        <f>YEAR(DATE(YEAR(Runhours_Table[[#This Row],[Date]]-WEEKDAY(Runhours_Table[[#This Row],[Date]]-1)+4),1,1)-MOD((DATE(YEAR(Runhours_Table[[#This Row],[Date]]-WEEKDAY(Runhours_Table[[#This Row],[Date]]-1)+4),1,1)-2),7)+(7*IF(MOD((DATE(YEAR(Runhours_Table[[#This Row],[Date]]-WEEKDAY(Runhours_Table[[#This Row],[Date]]-1)+4),1,1)-2),7)&gt;3,1,0))+7)</f>
        <v>2025</v>
      </c>
      <c r="E399" s="164">
        <f>_xlfn.ISOWEEKNUM(Runhours_Table[[#This Row],[Date]])</f>
        <v>19</v>
      </c>
      <c r="F399" s="160" t="str">
        <f>RIGHT(YEAR(Runhours_Table[[#This Row],[Date]]),2)&amp;TEXT(_xlfn.ISOWEEKNUM(Runhours_Table[[#This Row],[Date]]),"00")</f>
        <v>2519</v>
      </c>
      <c r="G399" s="31">
        <v>12.590278</v>
      </c>
      <c r="H399" s="38">
        <v>16.75</v>
      </c>
      <c r="I399" s="38">
        <f ca="1">_xlfn.ISOWEEKNUM(Runhours_Table[[#This Row],[Date]])+52*(Runhours_Table[[#This Row],[Year]]-YEAR(DATE(YEAR(TODAY()-WEEKDAY(TODAY()-1)+4),1,1)-MOD((DATE(YEAR(TODAY()-WEEKDAY(TODAY()-1)+4),1,1)-2),7)+(7*IF(MOD((DATE(YEAR(TODAY()-WEEKDAY(TODAY()-1)+4),1,1)-2),7)&gt;3,1,0))+7) )-_xlfn.ISOWEEKNUM(NOW())</f>
        <v>-18</v>
      </c>
      <c r="J399" s="345"/>
    </row>
    <row r="400" spans="1:10">
      <c r="A400" s="6" t="s">
        <v>4</v>
      </c>
      <c r="B400" s="6" t="str">
        <f>VLOOKUP(A400,Fleet[],2,FALSE)</f>
        <v>Intel</v>
      </c>
      <c r="C400" s="161">
        <v>45784</v>
      </c>
      <c r="D400" s="346">
        <f>YEAR(DATE(YEAR(Runhours_Table[[#This Row],[Date]]-WEEKDAY(Runhours_Table[[#This Row],[Date]]-1)+4),1,1)-MOD((DATE(YEAR(Runhours_Table[[#This Row],[Date]]-WEEKDAY(Runhours_Table[[#This Row],[Date]]-1)+4),1,1)-2),7)+(7*IF(MOD((DATE(YEAR(Runhours_Table[[#This Row],[Date]]-WEEKDAY(Runhours_Table[[#This Row],[Date]]-1)+4),1,1)-2),7)&gt;3,1,0))+7)</f>
        <v>2025</v>
      </c>
      <c r="E400" s="164">
        <f>_xlfn.ISOWEEKNUM(Runhours_Table[[#This Row],[Date]])</f>
        <v>19</v>
      </c>
      <c r="F400" s="160" t="str">
        <f>RIGHT(YEAR(Runhours_Table[[#This Row],[Date]]),2)&amp;TEXT(_xlfn.ISOWEEKNUM(Runhours_Table[[#This Row],[Date]]),"00")</f>
        <v>2519</v>
      </c>
      <c r="G400" s="31">
        <v>4.4216670000000002</v>
      </c>
      <c r="H400" s="38">
        <v>13.649999999999999</v>
      </c>
      <c r="I400" s="38">
        <f ca="1">_xlfn.ISOWEEKNUM(Runhours_Table[[#This Row],[Date]])+52*(Runhours_Table[[#This Row],[Year]]-YEAR(DATE(YEAR(TODAY()-WEEKDAY(TODAY()-1)+4),1,1)-MOD((DATE(YEAR(TODAY()-WEEKDAY(TODAY()-1)+4),1,1)-2),7)+(7*IF(MOD((DATE(YEAR(TODAY()-WEEKDAY(TODAY()-1)+4),1,1)-2),7)&gt;3,1,0))+7) )-_xlfn.ISOWEEKNUM(NOW())</f>
        <v>-18</v>
      </c>
      <c r="J400" s="345"/>
    </row>
    <row r="401" spans="1:10">
      <c r="A401" s="6" t="s">
        <v>7</v>
      </c>
      <c r="B401" s="6" t="str">
        <f>VLOOKUP(A401,Fleet[],2,FALSE)</f>
        <v>Intel</v>
      </c>
      <c r="C401" s="161">
        <v>45784</v>
      </c>
      <c r="D401" s="346">
        <f>YEAR(DATE(YEAR(Runhours_Table[[#This Row],[Date]]-WEEKDAY(Runhours_Table[[#This Row],[Date]]-1)+4),1,1)-MOD((DATE(YEAR(Runhours_Table[[#This Row],[Date]]-WEEKDAY(Runhours_Table[[#This Row],[Date]]-1)+4),1,1)-2),7)+(7*IF(MOD((DATE(YEAR(Runhours_Table[[#This Row],[Date]]-WEEKDAY(Runhours_Table[[#This Row],[Date]]-1)+4),1,1)-2),7)&gt;3,1,0))+7)</f>
        <v>2025</v>
      </c>
      <c r="E401" s="164">
        <f>_xlfn.ISOWEEKNUM(Runhours_Table[[#This Row],[Date]])</f>
        <v>19</v>
      </c>
      <c r="F401" s="160" t="str">
        <f>RIGHT(YEAR(Runhours_Table[[#This Row],[Date]]),2)&amp;TEXT(_xlfn.ISOWEEKNUM(Runhours_Table[[#This Row],[Date]]),"00")</f>
        <v>2519</v>
      </c>
      <c r="G401" s="31">
        <v>15.911111</v>
      </c>
      <c r="H401" s="38">
        <v>18.45</v>
      </c>
      <c r="I401" s="38">
        <f ca="1">_xlfn.ISOWEEKNUM(Runhours_Table[[#This Row],[Date]])+52*(Runhours_Table[[#This Row],[Year]]-YEAR(DATE(YEAR(TODAY()-WEEKDAY(TODAY()-1)+4),1,1)-MOD((DATE(YEAR(TODAY()-WEEKDAY(TODAY()-1)+4),1,1)-2),7)+(7*IF(MOD((DATE(YEAR(TODAY()-WEEKDAY(TODAY()-1)+4),1,1)-2),7)&gt;3,1,0))+7) )-_xlfn.ISOWEEKNUM(NOW())</f>
        <v>-18</v>
      </c>
      <c r="J401" s="345"/>
    </row>
    <row r="402" spans="1:10">
      <c r="A402" s="6" t="s">
        <v>4</v>
      </c>
      <c r="B402" s="6" t="str">
        <f>VLOOKUP(A402,Fleet[],2,FALSE)</f>
        <v>Intel</v>
      </c>
      <c r="C402" s="161">
        <v>45785</v>
      </c>
      <c r="D402" s="346">
        <f>YEAR(DATE(YEAR(Runhours_Table[[#This Row],[Date]]-WEEKDAY(Runhours_Table[[#This Row],[Date]]-1)+4),1,1)-MOD((DATE(YEAR(Runhours_Table[[#This Row],[Date]]-WEEKDAY(Runhours_Table[[#This Row],[Date]]-1)+4),1,1)-2),7)+(7*IF(MOD((DATE(YEAR(Runhours_Table[[#This Row],[Date]]-WEEKDAY(Runhours_Table[[#This Row],[Date]]-1)+4),1,1)-2),7)&gt;3,1,0))+7)</f>
        <v>2025</v>
      </c>
      <c r="E402" s="164">
        <f>_xlfn.ISOWEEKNUM(Runhours_Table[[#This Row],[Date]])</f>
        <v>19</v>
      </c>
      <c r="F402" s="160" t="str">
        <f>RIGHT(YEAR(Runhours_Table[[#This Row],[Date]]),2)&amp;TEXT(_xlfn.ISOWEEKNUM(Runhours_Table[[#This Row],[Date]]),"00")</f>
        <v>2519</v>
      </c>
      <c r="G402" s="31">
        <v>8.8872219999999995</v>
      </c>
      <c r="H402" s="38">
        <v>21.783332999999999</v>
      </c>
      <c r="I402" s="38">
        <f ca="1">_xlfn.ISOWEEKNUM(Runhours_Table[[#This Row],[Date]])+52*(Runhours_Table[[#This Row],[Year]]-YEAR(DATE(YEAR(TODAY()-WEEKDAY(TODAY()-1)+4),1,1)-MOD((DATE(YEAR(TODAY()-WEEKDAY(TODAY()-1)+4),1,1)-2),7)+(7*IF(MOD((DATE(YEAR(TODAY()-WEEKDAY(TODAY()-1)+4),1,1)-2),7)&gt;3,1,0))+7) )-_xlfn.ISOWEEKNUM(NOW())</f>
        <v>-18</v>
      </c>
      <c r="J402" s="345"/>
    </row>
    <row r="403" spans="1:10">
      <c r="A403" s="6" t="s">
        <v>7</v>
      </c>
      <c r="B403" s="6" t="str">
        <f>VLOOKUP(A403,Fleet[],2,FALSE)</f>
        <v>Intel</v>
      </c>
      <c r="C403" s="161">
        <v>45785</v>
      </c>
      <c r="D403" s="346">
        <f>YEAR(DATE(YEAR(Runhours_Table[[#This Row],[Date]]-WEEKDAY(Runhours_Table[[#This Row],[Date]]-1)+4),1,1)-MOD((DATE(YEAR(Runhours_Table[[#This Row],[Date]]-WEEKDAY(Runhours_Table[[#This Row],[Date]]-1)+4),1,1)-2),7)+(7*IF(MOD((DATE(YEAR(Runhours_Table[[#This Row],[Date]]-WEEKDAY(Runhours_Table[[#This Row],[Date]]-1)+4),1,1)-2),7)&gt;3,1,0))+7)</f>
        <v>2025</v>
      </c>
      <c r="E403" s="164">
        <f>_xlfn.ISOWEEKNUM(Runhours_Table[[#This Row],[Date]])</f>
        <v>19</v>
      </c>
      <c r="F403" s="160" t="str">
        <f>RIGHT(YEAR(Runhours_Table[[#This Row],[Date]]),2)&amp;TEXT(_xlfn.ISOWEEKNUM(Runhours_Table[[#This Row],[Date]]),"00")</f>
        <v>2519</v>
      </c>
      <c r="G403" s="31">
        <v>13.900833</v>
      </c>
      <c r="H403" s="38">
        <v>19.55</v>
      </c>
      <c r="I403" s="38">
        <f ca="1">_xlfn.ISOWEEKNUM(Runhours_Table[[#This Row],[Date]])+52*(Runhours_Table[[#This Row],[Year]]-YEAR(DATE(YEAR(TODAY()-WEEKDAY(TODAY()-1)+4),1,1)-MOD((DATE(YEAR(TODAY()-WEEKDAY(TODAY()-1)+4),1,1)-2),7)+(7*IF(MOD((DATE(YEAR(TODAY()-WEEKDAY(TODAY()-1)+4),1,1)-2),7)&gt;3,1,0))+7) )-_xlfn.ISOWEEKNUM(NOW())</f>
        <v>-18</v>
      </c>
      <c r="J403" s="345"/>
    </row>
    <row r="404" spans="1:10">
      <c r="A404" s="6" t="s">
        <v>4</v>
      </c>
      <c r="B404" s="6" t="str">
        <f>VLOOKUP(A404,Fleet[],2,FALSE)</f>
        <v>Intel</v>
      </c>
      <c r="C404" s="161">
        <v>45786</v>
      </c>
      <c r="D404" s="346">
        <f>YEAR(DATE(YEAR(Runhours_Table[[#This Row],[Date]]-WEEKDAY(Runhours_Table[[#This Row],[Date]]-1)+4),1,1)-MOD((DATE(YEAR(Runhours_Table[[#This Row],[Date]]-WEEKDAY(Runhours_Table[[#This Row],[Date]]-1)+4),1,1)-2),7)+(7*IF(MOD((DATE(YEAR(Runhours_Table[[#This Row],[Date]]-WEEKDAY(Runhours_Table[[#This Row],[Date]]-1)+4),1,1)-2),7)&gt;3,1,0))+7)</f>
        <v>2025</v>
      </c>
      <c r="E404" s="164">
        <f>_xlfn.ISOWEEKNUM(Runhours_Table[[#This Row],[Date]])</f>
        <v>19</v>
      </c>
      <c r="F404" s="160" t="str">
        <f>RIGHT(YEAR(Runhours_Table[[#This Row],[Date]]),2)&amp;TEXT(_xlfn.ISOWEEKNUM(Runhours_Table[[#This Row],[Date]]),"00")</f>
        <v>2519</v>
      </c>
      <c r="G404" s="31">
        <v>2.250556</v>
      </c>
      <c r="H404" s="38">
        <v>22.316666999999999</v>
      </c>
      <c r="I404" s="38">
        <f ca="1">_xlfn.ISOWEEKNUM(Runhours_Table[[#This Row],[Date]])+52*(Runhours_Table[[#This Row],[Year]]-YEAR(DATE(YEAR(TODAY()-WEEKDAY(TODAY()-1)+4),1,1)-MOD((DATE(YEAR(TODAY()-WEEKDAY(TODAY()-1)+4),1,1)-2),7)+(7*IF(MOD((DATE(YEAR(TODAY()-WEEKDAY(TODAY()-1)+4),1,1)-2),7)&gt;3,1,0))+7) )-_xlfn.ISOWEEKNUM(NOW())</f>
        <v>-18</v>
      </c>
      <c r="J404" s="345"/>
    </row>
    <row r="405" spans="1:10">
      <c r="A405" s="6" t="s">
        <v>7</v>
      </c>
      <c r="B405" s="6" t="str">
        <f>VLOOKUP(A405,Fleet[],2,FALSE)</f>
        <v>Intel</v>
      </c>
      <c r="C405" s="161">
        <v>45786</v>
      </c>
      <c r="D405" s="346">
        <f>YEAR(DATE(YEAR(Runhours_Table[[#This Row],[Date]]-WEEKDAY(Runhours_Table[[#This Row],[Date]]-1)+4),1,1)-MOD((DATE(YEAR(Runhours_Table[[#This Row],[Date]]-WEEKDAY(Runhours_Table[[#This Row],[Date]]-1)+4),1,1)-2),7)+(7*IF(MOD((DATE(YEAR(Runhours_Table[[#This Row],[Date]]-WEEKDAY(Runhours_Table[[#This Row],[Date]]-1)+4),1,1)-2),7)&gt;3,1,0))+7)</f>
        <v>2025</v>
      </c>
      <c r="E405" s="164">
        <f>_xlfn.ISOWEEKNUM(Runhours_Table[[#This Row],[Date]])</f>
        <v>19</v>
      </c>
      <c r="F405" s="160" t="str">
        <f>RIGHT(YEAR(Runhours_Table[[#This Row],[Date]]),2)&amp;TEXT(_xlfn.ISOWEEKNUM(Runhours_Table[[#This Row],[Date]]),"00")</f>
        <v>2519</v>
      </c>
      <c r="G405" s="31">
        <v>19.208055999999999</v>
      </c>
      <c r="H405" s="38">
        <v>22.616667</v>
      </c>
      <c r="I405" s="38">
        <f ca="1">_xlfn.ISOWEEKNUM(Runhours_Table[[#This Row],[Date]])+52*(Runhours_Table[[#This Row],[Year]]-YEAR(DATE(YEAR(TODAY()-WEEKDAY(TODAY()-1)+4),1,1)-MOD((DATE(YEAR(TODAY()-WEEKDAY(TODAY()-1)+4),1,1)-2),7)+(7*IF(MOD((DATE(YEAR(TODAY()-WEEKDAY(TODAY()-1)+4),1,1)-2),7)&gt;3,1,0))+7) )-_xlfn.ISOWEEKNUM(NOW())</f>
        <v>-18</v>
      </c>
      <c r="J405" s="345"/>
    </row>
    <row r="406" spans="1:10">
      <c r="A406" s="6" t="s">
        <v>4</v>
      </c>
      <c r="B406" s="6" t="str">
        <f>VLOOKUP(A406,Fleet[],2,FALSE)</f>
        <v>Intel</v>
      </c>
      <c r="C406" s="161">
        <v>45787</v>
      </c>
      <c r="D406" s="346">
        <f>YEAR(DATE(YEAR(Runhours_Table[[#This Row],[Date]]-WEEKDAY(Runhours_Table[[#This Row],[Date]]-1)+4),1,1)-MOD((DATE(YEAR(Runhours_Table[[#This Row],[Date]]-WEEKDAY(Runhours_Table[[#This Row],[Date]]-1)+4),1,1)-2),7)+(7*IF(MOD((DATE(YEAR(Runhours_Table[[#This Row],[Date]]-WEEKDAY(Runhours_Table[[#This Row],[Date]]-1)+4),1,1)-2),7)&gt;3,1,0))+7)</f>
        <v>2025</v>
      </c>
      <c r="E406" s="164">
        <f>_xlfn.ISOWEEKNUM(Runhours_Table[[#This Row],[Date]])</f>
        <v>19</v>
      </c>
      <c r="F406" s="160" t="str">
        <f>RIGHT(YEAR(Runhours_Table[[#This Row],[Date]]),2)&amp;TEXT(_xlfn.ISOWEEKNUM(Runhours_Table[[#This Row],[Date]]),"00")</f>
        <v>2519</v>
      </c>
      <c r="G406" s="31"/>
      <c r="H406" s="38">
        <v>18.383333</v>
      </c>
      <c r="I406" s="38">
        <f ca="1">_xlfn.ISOWEEKNUM(Runhours_Table[[#This Row],[Date]])+52*(Runhours_Table[[#This Row],[Year]]-YEAR(DATE(YEAR(TODAY()-WEEKDAY(TODAY()-1)+4),1,1)-MOD((DATE(YEAR(TODAY()-WEEKDAY(TODAY()-1)+4),1,1)-2),7)+(7*IF(MOD((DATE(YEAR(TODAY()-WEEKDAY(TODAY()-1)+4),1,1)-2),7)&gt;3,1,0))+7) )-_xlfn.ISOWEEKNUM(NOW())</f>
        <v>-18</v>
      </c>
      <c r="J406" s="345"/>
    </row>
    <row r="407" spans="1:10">
      <c r="A407" s="6" t="s">
        <v>7</v>
      </c>
      <c r="B407" s="6" t="str">
        <f>VLOOKUP(A407,Fleet[],2,FALSE)</f>
        <v>Intel</v>
      </c>
      <c r="C407" s="161">
        <v>45787</v>
      </c>
      <c r="D407" s="346">
        <f>YEAR(DATE(YEAR(Runhours_Table[[#This Row],[Date]]-WEEKDAY(Runhours_Table[[#This Row],[Date]]-1)+4),1,1)-MOD((DATE(YEAR(Runhours_Table[[#This Row],[Date]]-WEEKDAY(Runhours_Table[[#This Row],[Date]]-1)+4),1,1)-2),7)+(7*IF(MOD((DATE(YEAR(Runhours_Table[[#This Row],[Date]]-WEEKDAY(Runhours_Table[[#This Row],[Date]]-1)+4),1,1)-2),7)&gt;3,1,0))+7)</f>
        <v>2025</v>
      </c>
      <c r="E407" s="164">
        <f>_xlfn.ISOWEEKNUM(Runhours_Table[[#This Row],[Date]])</f>
        <v>19</v>
      </c>
      <c r="F407" s="160" t="str">
        <f>RIGHT(YEAR(Runhours_Table[[#This Row],[Date]]),2)&amp;TEXT(_xlfn.ISOWEEKNUM(Runhours_Table[[#This Row],[Date]]),"00")</f>
        <v>2519</v>
      </c>
      <c r="G407" s="31">
        <v>20.4925</v>
      </c>
      <c r="H407" s="38">
        <v>24</v>
      </c>
      <c r="I407" s="38">
        <f ca="1">_xlfn.ISOWEEKNUM(Runhours_Table[[#This Row],[Date]])+52*(Runhours_Table[[#This Row],[Year]]-YEAR(DATE(YEAR(TODAY()-WEEKDAY(TODAY()-1)+4),1,1)-MOD((DATE(YEAR(TODAY()-WEEKDAY(TODAY()-1)+4),1,1)-2),7)+(7*IF(MOD((DATE(YEAR(TODAY()-WEEKDAY(TODAY()-1)+4),1,1)-2),7)&gt;3,1,0))+7) )-_xlfn.ISOWEEKNUM(NOW())</f>
        <v>-18</v>
      </c>
      <c r="J407" s="345"/>
    </row>
    <row r="408" spans="1:10">
      <c r="A408" s="6" t="s">
        <v>4</v>
      </c>
      <c r="B408" s="6" t="str">
        <f>VLOOKUP(A408,Fleet[],2,FALSE)</f>
        <v>Intel</v>
      </c>
      <c r="C408" s="161">
        <v>45788</v>
      </c>
      <c r="D408" s="346">
        <f>YEAR(DATE(YEAR(Runhours_Table[[#This Row],[Date]]-WEEKDAY(Runhours_Table[[#This Row],[Date]]-1)+4),1,1)-MOD((DATE(YEAR(Runhours_Table[[#This Row],[Date]]-WEEKDAY(Runhours_Table[[#This Row],[Date]]-1)+4),1,1)-2),7)+(7*IF(MOD((DATE(YEAR(Runhours_Table[[#This Row],[Date]]-WEEKDAY(Runhours_Table[[#This Row],[Date]]-1)+4),1,1)-2),7)&gt;3,1,0))+7)</f>
        <v>2025</v>
      </c>
      <c r="E408" s="164">
        <f>_xlfn.ISOWEEKNUM(Runhours_Table[[#This Row],[Date]])</f>
        <v>19</v>
      </c>
      <c r="F408" s="160" t="str">
        <f>RIGHT(YEAR(Runhours_Table[[#This Row],[Date]]),2)&amp;TEXT(_xlfn.ISOWEEKNUM(Runhours_Table[[#This Row],[Date]]),"00")</f>
        <v>2519</v>
      </c>
      <c r="G408" s="31">
        <v>0.88666699999999998</v>
      </c>
      <c r="H408" s="38">
        <v>14.583333999999999</v>
      </c>
      <c r="I408" s="38">
        <f ca="1">_xlfn.ISOWEEKNUM(Runhours_Table[[#This Row],[Date]])+52*(Runhours_Table[[#This Row],[Year]]-YEAR(DATE(YEAR(TODAY()-WEEKDAY(TODAY()-1)+4),1,1)-MOD((DATE(YEAR(TODAY()-WEEKDAY(TODAY()-1)+4),1,1)-2),7)+(7*IF(MOD((DATE(YEAR(TODAY()-WEEKDAY(TODAY()-1)+4),1,1)-2),7)&gt;3,1,0))+7) )-_xlfn.ISOWEEKNUM(NOW())</f>
        <v>-18</v>
      </c>
      <c r="J408" s="345"/>
    </row>
    <row r="409" spans="1:10">
      <c r="A409" s="6" t="s">
        <v>7</v>
      </c>
      <c r="B409" s="6" t="str">
        <f>VLOOKUP(A409,Fleet[],2,FALSE)</f>
        <v>Intel</v>
      </c>
      <c r="C409" s="161">
        <v>45788</v>
      </c>
      <c r="D409" s="346">
        <f>YEAR(DATE(YEAR(Runhours_Table[[#This Row],[Date]]-WEEKDAY(Runhours_Table[[#This Row],[Date]]-1)+4),1,1)-MOD((DATE(YEAR(Runhours_Table[[#This Row],[Date]]-WEEKDAY(Runhours_Table[[#This Row],[Date]]-1)+4),1,1)-2),7)+(7*IF(MOD((DATE(YEAR(Runhours_Table[[#This Row],[Date]]-WEEKDAY(Runhours_Table[[#This Row],[Date]]-1)+4),1,1)-2),7)&gt;3,1,0))+7)</f>
        <v>2025</v>
      </c>
      <c r="E409" s="164">
        <f>_xlfn.ISOWEEKNUM(Runhours_Table[[#This Row],[Date]])</f>
        <v>19</v>
      </c>
      <c r="F409" s="160" t="str">
        <f>RIGHT(YEAR(Runhours_Table[[#This Row],[Date]]),2)&amp;TEXT(_xlfn.ISOWEEKNUM(Runhours_Table[[#This Row],[Date]]),"00")</f>
        <v>2519</v>
      </c>
      <c r="G409" s="38">
        <v>16.925833000000001</v>
      </c>
      <c r="H409" s="38">
        <v>20.75</v>
      </c>
      <c r="I409" s="38">
        <f ca="1">_xlfn.ISOWEEKNUM(Runhours_Table[[#This Row],[Date]])+52*(Runhours_Table[[#This Row],[Year]]-YEAR(DATE(YEAR(TODAY()-WEEKDAY(TODAY()-1)+4),1,1)-MOD((DATE(YEAR(TODAY()-WEEKDAY(TODAY()-1)+4),1,1)-2),7)+(7*IF(MOD((DATE(YEAR(TODAY()-WEEKDAY(TODAY()-1)+4),1,1)-2),7)&gt;3,1,0))+7) )-_xlfn.ISOWEEKNUM(NOW())</f>
        <v>-18</v>
      </c>
      <c r="J409" s="345"/>
    </row>
    <row r="410" spans="1:10">
      <c r="A410" s="39" t="s">
        <v>4</v>
      </c>
      <c r="B410" s="6" t="str">
        <f>VLOOKUP(A410,Fleet[],2,FALSE)</f>
        <v>Intel</v>
      </c>
      <c r="C410" s="161">
        <v>45789</v>
      </c>
      <c r="D410" s="346">
        <f>YEAR(DATE(YEAR(Runhours_Table[[#This Row],[Date]]-WEEKDAY(Runhours_Table[[#This Row],[Date]]-1)+4),1,1)-MOD((DATE(YEAR(Runhours_Table[[#This Row],[Date]]-WEEKDAY(Runhours_Table[[#This Row],[Date]]-1)+4),1,1)-2),7)+(7*IF(MOD((DATE(YEAR(Runhours_Table[[#This Row],[Date]]-WEEKDAY(Runhours_Table[[#This Row],[Date]]-1)+4),1,1)-2),7)&gt;3,1,0))+7)</f>
        <v>2025</v>
      </c>
      <c r="E410" s="164">
        <f>_xlfn.ISOWEEKNUM(Runhours_Table[[#This Row],[Date]])</f>
        <v>20</v>
      </c>
      <c r="F410" s="160" t="str">
        <f>RIGHT(YEAR(Runhours_Table[[#This Row],[Date]]),2)&amp;TEXT(_xlfn.ISOWEEKNUM(Runhours_Table[[#This Row],[Date]]),"00")</f>
        <v>2520</v>
      </c>
      <c r="G410" s="38">
        <v>7.1019439999999996</v>
      </c>
      <c r="H410" s="38">
        <v>13.966666</v>
      </c>
      <c r="I410" s="38">
        <f ca="1">_xlfn.ISOWEEKNUM(Runhours_Table[[#This Row],[Date]])+52*(Runhours_Table[[#This Row],[Year]]-YEAR(DATE(YEAR(TODAY()-WEEKDAY(TODAY()-1)+4),1,1)-MOD((DATE(YEAR(TODAY()-WEEKDAY(TODAY()-1)+4),1,1)-2),7)+(7*IF(MOD((DATE(YEAR(TODAY()-WEEKDAY(TODAY()-1)+4),1,1)-2),7)&gt;3,1,0))+7) )-_xlfn.ISOWEEKNUM(NOW())</f>
        <v>-17</v>
      </c>
      <c r="J410" s="345"/>
    </row>
    <row r="411" spans="1:10">
      <c r="A411" s="6" t="s">
        <v>7</v>
      </c>
      <c r="B411" s="6" t="str">
        <f>VLOOKUP(A411,Fleet[],2,FALSE)</f>
        <v>Intel</v>
      </c>
      <c r="C411" s="168">
        <v>45789</v>
      </c>
      <c r="D411" s="346">
        <f>YEAR(DATE(YEAR(Runhours_Table[[#This Row],[Date]]-WEEKDAY(Runhours_Table[[#This Row],[Date]]-1)+4),1,1)-MOD((DATE(YEAR(Runhours_Table[[#This Row],[Date]]-WEEKDAY(Runhours_Table[[#This Row],[Date]]-1)+4),1,1)-2),7)+(7*IF(MOD((DATE(YEAR(Runhours_Table[[#This Row],[Date]]-WEEKDAY(Runhours_Table[[#This Row],[Date]]-1)+4),1,1)-2),7)&gt;3,1,0))+7)</f>
        <v>2025</v>
      </c>
      <c r="E411" s="164">
        <f>_xlfn.ISOWEEKNUM(Runhours_Table[[#This Row],[Date]])</f>
        <v>20</v>
      </c>
      <c r="F411" s="160" t="str">
        <f>RIGHT(YEAR(Runhours_Table[[#This Row],[Date]]),2)&amp;TEXT(_xlfn.ISOWEEKNUM(Runhours_Table[[#This Row],[Date]]),"00")</f>
        <v>2520</v>
      </c>
      <c r="G411" s="38">
        <v>19.508056</v>
      </c>
      <c r="H411" s="38">
        <v>21.916667</v>
      </c>
      <c r="I411" s="38">
        <f ca="1">_xlfn.ISOWEEKNUM(Runhours_Table[[#This Row],[Date]])+52*(Runhours_Table[[#This Row],[Year]]-YEAR(DATE(YEAR(TODAY()-WEEKDAY(TODAY()-1)+4),1,1)-MOD((DATE(YEAR(TODAY()-WEEKDAY(TODAY()-1)+4),1,1)-2),7)+(7*IF(MOD((DATE(YEAR(TODAY()-WEEKDAY(TODAY()-1)+4),1,1)-2),7)&gt;3,1,0))+7) )-_xlfn.ISOWEEKNUM(NOW())</f>
        <v>-17</v>
      </c>
      <c r="J411" s="345"/>
    </row>
    <row r="412" spans="1:10">
      <c r="A412" s="6" t="s">
        <v>4</v>
      </c>
      <c r="B412" s="6" t="str">
        <f>VLOOKUP(A412,Fleet[],2,FALSE)</f>
        <v>Intel</v>
      </c>
      <c r="C412" s="168">
        <v>45790</v>
      </c>
      <c r="D412" s="346">
        <f>YEAR(DATE(YEAR(Runhours_Table[[#This Row],[Date]]-WEEKDAY(Runhours_Table[[#This Row],[Date]]-1)+4),1,1)-MOD((DATE(YEAR(Runhours_Table[[#This Row],[Date]]-WEEKDAY(Runhours_Table[[#This Row],[Date]]-1)+4),1,1)-2),7)+(7*IF(MOD((DATE(YEAR(Runhours_Table[[#This Row],[Date]]-WEEKDAY(Runhours_Table[[#This Row],[Date]]-1)+4),1,1)-2),7)&gt;3,1,0))+7)</f>
        <v>2025</v>
      </c>
      <c r="E412" s="164">
        <f>_xlfn.ISOWEEKNUM(Runhours_Table[[#This Row],[Date]])</f>
        <v>20</v>
      </c>
      <c r="F412" s="160" t="str">
        <f>RIGHT(YEAR(Runhours_Table[[#This Row],[Date]]),2)&amp;TEXT(_xlfn.ISOWEEKNUM(Runhours_Table[[#This Row],[Date]]),"00")</f>
        <v>2520</v>
      </c>
      <c r="G412" s="38">
        <v>9.8352780000000006</v>
      </c>
      <c r="H412" s="38">
        <v>17.600000000000001</v>
      </c>
      <c r="I412" s="38">
        <f ca="1">_xlfn.ISOWEEKNUM(Runhours_Table[[#This Row],[Date]])+52*(Runhours_Table[[#This Row],[Year]]-YEAR(DATE(YEAR(TODAY()-WEEKDAY(TODAY()-1)+4),1,1)-MOD((DATE(YEAR(TODAY()-WEEKDAY(TODAY()-1)+4),1,1)-2),7)+(7*IF(MOD((DATE(YEAR(TODAY()-WEEKDAY(TODAY()-1)+4),1,1)-2),7)&gt;3,1,0))+7) )-_xlfn.ISOWEEKNUM(NOW())</f>
        <v>-17</v>
      </c>
      <c r="J412" s="345"/>
    </row>
    <row r="413" spans="1:10">
      <c r="A413" s="6" t="s">
        <v>7</v>
      </c>
      <c r="B413" s="6" t="str">
        <f>VLOOKUP(A413,Fleet[],2,FALSE)</f>
        <v>Intel</v>
      </c>
      <c r="C413" s="168">
        <v>45790</v>
      </c>
      <c r="D413" s="346">
        <f>YEAR(DATE(YEAR(Runhours_Table[[#This Row],[Date]]-WEEKDAY(Runhours_Table[[#This Row],[Date]]-1)+4),1,1)-MOD((DATE(YEAR(Runhours_Table[[#This Row],[Date]]-WEEKDAY(Runhours_Table[[#This Row],[Date]]-1)+4),1,1)-2),7)+(7*IF(MOD((DATE(YEAR(Runhours_Table[[#This Row],[Date]]-WEEKDAY(Runhours_Table[[#This Row],[Date]]-1)+4),1,1)-2),7)&gt;3,1,0))+7)</f>
        <v>2025</v>
      </c>
      <c r="E413" s="164">
        <f>_xlfn.ISOWEEKNUM(Runhours_Table[[#This Row],[Date]])</f>
        <v>20</v>
      </c>
      <c r="F413" s="160" t="str">
        <f>RIGHT(YEAR(Runhours_Table[[#This Row],[Date]]),2)&amp;TEXT(_xlfn.ISOWEEKNUM(Runhours_Table[[#This Row],[Date]]),"00")</f>
        <v>2520</v>
      </c>
      <c r="G413" s="38">
        <v>11.814166999999999</v>
      </c>
      <c r="H413" s="38">
        <v>16.616667</v>
      </c>
      <c r="I413" s="38">
        <f ca="1">_xlfn.ISOWEEKNUM(Runhours_Table[[#This Row],[Date]])+52*(Runhours_Table[[#This Row],[Year]]-YEAR(DATE(YEAR(TODAY()-WEEKDAY(TODAY()-1)+4),1,1)-MOD((DATE(YEAR(TODAY()-WEEKDAY(TODAY()-1)+4),1,1)-2),7)+(7*IF(MOD((DATE(YEAR(TODAY()-WEEKDAY(TODAY()-1)+4),1,1)-2),7)&gt;3,1,0))+7) )-_xlfn.ISOWEEKNUM(NOW())</f>
        <v>-17</v>
      </c>
      <c r="J413" s="345"/>
    </row>
    <row r="414" spans="1:10">
      <c r="A414" s="6" t="s">
        <v>4</v>
      </c>
      <c r="B414" s="6" t="str">
        <f>VLOOKUP(A414,Fleet[],2,FALSE)</f>
        <v>Intel</v>
      </c>
      <c r="C414" s="168">
        <v>45791</v>
      </c>
      <c r="D414" s="346">
        <f>YEAR(DATE(YEAR(Runhours_Table[[#This Row],[Date]]-WEEKDAY(Runhours_Table[[#This Row],[Date]]-1)+4),1,1)-MOD((DATE(YEAR(Runhours_Table[[#This Row],[Date]]-WEEKDAY(Runhours_Table[[#This Row],[Date]]-1)+4),1,1)-2),7)+(7*IF(MOD((DATE(YEAR(Runhours_Table[[#This Row],[Date]]-WEEKDAY(Runhours_Table[[#This Row],[Date]]-1)+4),1,1)-2),7)&gt;3,1,0))+7)</f>
        <v>2025</v>
      </c>
      <c r="E414" s="164">
        <f>_xlfn.ISOWEEKNUM(Runhours_Table[[#This Row],[Date]])</f>
        <v>20</v>
      </c>
      <c r="F414" s="160" t="str">
        <f>RIGHT(YEAR(Runhours_Table[[#This Row],[Date]]),2)&amp;TEXT(_xlfn.ISOWEEKNUM(Runhours_Table[[#This Row],[Date]]),"00")</f>
        <v>2520</v>
      </c>
      <c r="G414" s="38">
        <v>12.280556000000001</v>
      </c>
      <c r="H414" s="38">
        <v>22.8</v>
      </c>
      <c r="I414" s="38">
        <f ca="1">_xlfn.ISOWEEKNUM(Runhours_Table[[#This Row],[Date]])+52*(Runhours_Table[[#This Row],[Year]]-YEAR(DATE(YEAR(TODAY()-WEEKDAY(TODAY()-1)+4),1,1)-MOD((DATE(YEAR(TODAY()-WEEKDAY(TODAY()-1)+4),1,1)-2),7)+(7*IF(MOD((DATE(YEAR(TODAY()-WEEKDAY(TODAY()-1)+4),1,1)-2),7)&gt;3,1,0))+7) )-_xlfn.ISOWEEKNUM(NOW())</f>
        <v>-17</v>
      </c>
      <c r="J414" s="345"/>
    </row>
    <row r="415" spans="1:10">
      <c r="A415" s="6" t="s">
        <v>7</v>
      </c>
      <c r="B415" s="6" t="str">
        <f>VLOOKUP(A415,Fleet[],2,FALSE)</f>
        <v>Intel</v>
      </c>
      <c r="C415" s="168">
        <v>45791</v>
      </c>
      <c r="D415" s="346">
        <f>YEAR(DATE(YEAR(Runhours_Table[[#This Row],[Date]]-WEEKDAY(Runhours_Table[[#This Row],[Date]]-1)+4),1,1)-MOD((DATE(YEAR(Runhours_Table[[#This Row],[Date]]-WEEKDAY(Runhours_Table[[#This Row],[Date]]-1)+4),1,1)-2),7)+(7*IF(MOD((DATE(YEAR(Runhours_Table[[#This Row],[Date]]-WEEKDAY(Runhours_Table[[#This Row],[Date]]-1)+4),1,1)-2),7)&gt;3,1,0))+7)</f>
        <v>2025</v>
      </c>
      <c r="E415" s="164">
        <f>_xlfn.ISOWEEKNUM(Runhours_Table[[#This Row],[Date]])</f>
        <v>20</v>
      </c>
      <c r="F415" s="160" t="str">
        <f>RIGHT(YEAR(Runhours_Table[[#This Row],[Date]]),2)&amp;TEXT(_xlfn.ISOWEEKNUM(Runhours_Table[[#This Row],[Date]]),"00")</f>
        <v>2520</v>
      </c>
      <c r="G415" s="38">
        <v>9.1994439999999997</v>
      </c>
      <c r="H415" s="38">
        <v>12.35</v>
      </c>
      <c r="I415" s="38">
        <f ca="1">_xlfn.ISOWEEKNUM(Runhours_Table[[#This Row],[Date]])+52*(Runhours_Table[[#This Row],[Year]]-YEAR(DATE(YEAR(TODAY()-WEEKDAY(TODAY()-1)+4),1,1)-MOD((DATE(YEAR(TODAY()-WEEKDAY(TODAY()-1)+4),1,1)-2),7)+(7*IF(MOD((DATE(YEAR(TODAY()-WEEKDAY(TODAY()-1)+4),1,1)-2),7)&gt;3,1,0))+7) )-_xlfn.ISOWEEKNUM(NOW())</f>
        <v>-17</v>
      </c>
      <c r="J415" s="345"/>
    </row>
    <row r="416" spans="1:10">
      <c r="A416" s="6" t="s">
        <v>4</v>
      </c>
      <c r="B416" s="6" t="str">
        <f>VLOOKUP(A416,Fleet[],2,FALSE)</f>
        <v>Intel</v>
      </c>
      <c r="C416" s="168">
        <v>45792</v>
      </c>
      <c r="D416" s="346">
        <f>YEAR(DATE(YEAR(Runhours_Table[[#This Row],[Date]]-WEEKDAY(Runhours_Table[[#This Row],[Date]]-1)+4),1,1)-MOD((DATE(YEAR(Runhours_Table[[#This Row],[Date]]-WEEKDAY(Runhours_Table[[#This Row],[Date]]-1)+4),1,1)-2),7)+(7*IF(MOD((DATE(YEAR(Runhours_Table[[#This Row],[Date]]-WEEKDAY(Runhours_Table[[#This Row],[Date]]-1)+4),1,1)-2),7)&gt;3,1,0))+7)</f>
        <v>2025</v>
      </c>
      <c r="E416" s="164">
        <f>_xlfn.ISOWEEKNUM(Runhours_Table[[#This Row],[Date]])</f>
        <v>20</v>
      </c>
      <c r="F416" s="160" t="str">
        <f>RIGHT(YEAR(Runhours_Table[[#This Row],[Date]]),2)&amp;TEXT(_xlfn.ISOWEEKNUM(Runhours_Table[[#This Row],[Date]]),"00")</f>
        <v>2520</v>
      </c>
      <c r="G416" s="38">
        <v>12.603889000000001</v>
      </c>
      <c r="H416" s="38">
        <v>22.283332999999999</v>
      </c>
      <c r="I416" s="38">
        <f ca="1">_xlfn.ISOWEEKNUM(Runhours_Table[[#This Row],[Date]])+52*(Runhours_Table[[#This Row],[Year]]-YEAR(DATE(YEAR(TODAY()-WEEKDAY(TODAY()-1)+4),1,1)-MOD((DATE(YEAR(TODAY()-WEEKDAY(TODAY()-1)+4),1,1)-2),7)+(7*IF(MOD((DATE(YEAR(TODAY()-WEEKDAY(TODAY()-1)+4),1,1)-2),7)&gt;3,1,0))+7) )-_xlfn.ISOWEEKNUM(NOW())</f>
        <v>-17</v>
      </c>
      <c r="J416" s="345"/>
    </row>
    <row r="417" spans="1:10">
      <c r="A417" s="6" t="s">
        <v>7</v>
      </c>
      <c r="B417" s="6" t="str">
        <f>VLOOKUP(A417,Fleet[],2,FALSE)</f>
        <v>Intel</v>
      </c>
      <c r="C417" s="168">
        <v>45792</v>
      </c>
      <c r="D417" s="346">
        <f>YEAR(DATE(YEAR(Runhours_Table[[#This Row],[Date]]-WEEKDAY(Runhours_Table[[#This Row],[Date]]-1)+4),1,1)-MOD((DATE(YEAR(Runhours_Table[[#This Row],[Date]]-WEEKDAY(Runhours_Table[[#This Row],[Date]]-1)+4),1,1)-2),7)+(7*IF(MOD((DATE(YEAR(Runhours_Table[[#This Row],[Date]]-WEEKDAY(Runhours_Table[[#This Row],[Date]]-1)+4),1,1)-2),7)&gt;3,1,0))+7)</f>
        <v>2025</v>
      </c>
      <c r="E417" s="164">
        <f>_xlfn.ISOWEEKNUM(Runhours_Table[[#This Row],[Date]])</f>
        <v>20</v>
      </c>
      <c r="F417" s="160" t="str">
        <f>RIGHT(YEAR(Runhours_Table[[#This Row],[Date]]),2)&amp;TEXT(_xlfn.ISOWEEKNUM(Runhours_Table[[#This Row],[Date]]),"00")</f>
        <v>2520</v>
      </c>
      <c r="G417" s="38">
        <v>3.0563889999999998</v>
      </c>
      <c r="H417" s="38">
        <v>10.166667</v>
      </c>
      <c r="I417" s="38">
        <f ca="1">_xlfn.ISOWEEKNUM(Runhours_Table[[#This Row],[Date]])+52*(Runhours_Table[[#This Row],[Year]]-YEAR(DATE(YEAR(TODAY()-WEEKDAY(TODAY()-1)+4),1,1)-MOD((DATE(YEAR(TODAY()-WEEKDAY(TODAY()-1)+4),1,1)-2),7)+(7*IF(MOD((DATE(YEAR(TODAY()-WEEKDAY(TODAY()-1)+4),1,1)-2),7)&gt;3,1,0))+7) )-_xlfn.ISOWEEKNUM(NOW())</f>
        <v>-17</v>
      </c>
      <c r="J417" s="345"/>
    </row>
    <row r="418" spans="1:10">
      <c r="A418" s="6" t="s">
        <v>4</v>
      </c>
      <c r="B418" s="6" t="str">
        <f>VLOOKUP(A418,Fleet[],2,FALSE)</f>
        <v>Intel</v>
      </c>
      <c r="C418" s="168">
        <v>45793</v>
      </c>
      <c r="D418" s="346">
        <f>YEAR(DATE(YEAR(Runhours_Table[[#This Row],[Date]]-WEEKDAY(Runhours_Table[[#This Row],[Date]]-1)+4),1,1)-MOD((DATE(YEAR(Runhours_Table[[#This Row],[Date]]-WEEKDAY(Runhours_Table[[#This Row],[Date]]-1)+4),1,1)-2),7)+(7*IF(MOD((DATE(YEAR(Runhours_Table[[#This Row],[Date]]-WEEKDAY(Runhours_Table[[#This Row],[Date]]-1)+4),1,1)-2),7)&gt;3,1,0))+7)</f>
        <v>2025</v>
      </c>
      <c r="E418" s="164">
        <f>_xlfn.ISOWEEKNUM(Runhours_Table[[#This Row],[Date]])</f>
        <v>20</v>
      </c>
      <c r="F418" s="160" t="str">
        <f>RIGHT(YEAR(Runhours_Table[[#This Row],[Date]]),2)&amp;TEXT(_xlfn.ISOWEEKNUM(Runhours_Table[[#This Row],[Date]]),"00")</f>
        <v>2520</v>
      </c>
      <c r="G418" s="38">
        <v>16.197222</v>
      </c>
      <c r="H418" s="38">
        <v>21.683333000000001</v>
      </c>
      <c r="I418" s="38">
        <f ca="1">_xlfn.ISOWEEKNUM(Runhours_Table[[#This Row],[Date]])+52*(Runhours_Table[[#This Row],[Year]]-YEAR(DATE(YEAR(TODAY()-WEEKDAY(TODAY()-1)+4),1,1)-MOD((DATE(YEAR(TODAY()-WEEKDAY(TODAY()-1)+4),1,1)-2),7)+(7*IF(MOD((DATE(YEAR(TODAY()-WEEKDAY(TODAY()-1)+4),1,1)-2),7)&gt;3,1,0))+7) )-_xlfn.ISOWEEKNUM(NOW())</f>
        <v>-17</v>
      </c>
      <c r="J418" s="345"/>
    </row>
    <row r="419" spans="1:10">
      <c r="A419" s="6" t="s">
        <v>7</v>
      </c>
      <c r="B419" s="6" t="str">
        <f>VLOOKUP(A419,Fleet[],2,FALSE)</f>
        <v>Intel</v>
      </c>
      <c r="C419" s="168">
        <v>45793</v>
      </c>
      <c r="D419" s="346">
        <f>YEAR(DATE(YEAR(Runhours_Table[[#This Row],[Date]]-WEEKDAY(Runhours_Table[[#This Row],[Date]]-1)+4),1,1)-MOD((DATE(YEAR(Runhours_Table[[#This Row],[Date]]-WEEKDAY(Runhours_Table[[#This Row],[Date]]-1)+4),1,1)-2),7)+(7*IF(MOD((DATE(YEAR(Runhours_Table[[#This Row],[Date]]-WEEKDAY(Runhours_Table[[#This Row],[Date]]-1)+4),1,1)-2),7)&gt;3,1,0))+7)</f>
        <v>2025</v>
      </c>
      <c r="E419" s="164">
        <f>_xlfn.ISOWEEKNUM(Runhours_Table[[#This Row],[Date]])</f>
        <v>20</v>
      </c>
      <c r="F419" s="160" t="str">
        <f>RIGHT(YEAR(Runhours_Table[[#This Row],[Date]]),2)&amp;TEXT(_xlfn.ISOWEEKNUM(Runhours_Table[[#This Row],[Date]]),"00")</f>
        <v>2520</v>
      </c>
      <c r="G419" s="38">
        <v>21.495556000000001</v>
      </c>
      <c r="H419" s="38">
        <v>24</v>
      </c>
      <c r="I419" s="38">
        <f ca="1">_xlfn.ISOWEEKNUM(Runhours_Table[[#This Row],[Date]])+52*(Runhours_Table[[#This Row],[Year]]-YEAR(DATE(YEAR(TODAY()-WEEKDAY(TODAY()-1)+4),1,1)-MOD((DATE(YEAR(TODAY()-WEEKDAY(TODAY()-1)+4),1,1)-2),7)+(7*IF(MOD((DATE(YEAR(TODAY()-WEEKDAY(TODAY()-1)+4),1,1)-2),7)&gt;3,1,0))+7) )-_xlfn.ISOWEEKNUM(NOW())</f>
        <v>-17</v>
      </c>
      <c r="J419" s="345"/>
    </row>
    <row r="420" spans="1:10">
      <c r="A420" s="6" t="s">
        <v>4</v>
      </c>
      <c r="B420" s="6" t="str">
        <f>VLOOKUP(A420,Fleet[],2,FALSE)</f>
        <v>Intel</v>
      </c>
      <c r="C420" s="168">
        <v>45794</v>
      </c>
      <c r="D420" s="346">
        <f>YEAR(DATE(YEAR(Runhours_Table[[#This Row],[Date]]-WEEKDAY(Runhours_Table[[#This Row],[Date]]-1)+4),1,1)-MOD((DATE(YEAR(Runhours_Table[[#This Row],[Date]]-WEEKDAY(Runhours_Table[[#This Row],[Date]]-1)+4),1,1)-2),7)+(7*IF(MOD((DATE(YEAR(Runhours_Table[[#This Row],[Date]]-WEEKDAY(Runhours_Table[[#This Row],[Date]]-1)+4),1,1)-2),7)&gt;3,1,0))+7)</f>
        <v>2025</v>
      </c>
      <c r="E420" s="164">
        <f>_xlfn.ISOWEEKNUM(Runhours_Table[[#This Row],[Date]])</f>
        <v>20</v>
      </c>
      <c r="F420" s="160" t="str">
        <f>RIGHT(YEAR(Runhours_Table[[#This Row],[Date]]),2)&amp;TEXT(_xlfn.ISOWEEKNUM(Runhours_Table[[#This Row],[Date]]),"00")</f>
        <v>2520</v>
      </c>
      <c r="G420" s="38">
        <v>13.755833000000001</v>
      </c>
      <c r="H420" s="38">
        <v>22.366666000000002</v>
      </c>
      <c r="I420" s="38">
        <f ca="1">_xlfn.ISOWEEKNUM(Runhours_Table[[#This Row],[Date]])+52*(Runhours_Table[[#This Row],[Year]]-YEAR(DATE(YEAR(TODAY()-WEEKDAY(TODAY()-1)+4),1,1)-MOD((DATE(YEAR(TODAY()-WEEKDAY(TODAY()-1)+4),1,1)-2),7)+(7*IF(MOD((DATE(YEAR(TODAY()-WEEKDAY(TODAY()-1)+4),1,1)-2),7)&gt;3,1,0))+7) )-_xlfn.ISOWEEKNUM(NOW())</f>
        <v>-17</v>
      </c>
      <c r="J420" s="345"/>
    </row>
    <row r="421" spans="1:10">
      <c r="A421" s="6" t="s">
        <v>7</v>
      </c>
      <c r="B421" s="6" t="str">
        <f>VLOOKUP(A421,Fleet[],2,FALSE)</f>
        <v>Intel</v>
      </c>
      <c r="C421" s="168">
        <v>45794</v>
      </c>
      <c r="D421" s="346">
        <f>YEAR(DATE(YEAR(Runhours_Table[[#This Row],[Date]]-WEEKDAY(Runhours_Table[[#This Row],[Date]]-1)+4),1,1)-MOD((DATE(YEAR(Runhours_Table[[#This Row],[Date]]-WEEKDAY(Runhours_Table[[#This Row],[Date]]-1)+4),1,1)-2),7)+(7*IF(MOD((DATE(YEAR(Runhours_Table[[#This Row],[Date]]-WEEKDAY(Runhours_Table[[#This Row],[Date]]-1)+4),1,1)-2),7)&gt;3,1,0))+7)</f>
        <v>2025</v>
      </c>
      <c r="E421" s="164">
        <f>_xlfn.ISOWEEKNUM(Runhours_Table[[#This Row],[Date]])</f>
        <v>20</v>
      </c>
      <c r="F421" s="160" t="str">
        <f>RIGHT(YEAR(Runhours_Table[[#This Row],[Date]]),2)&amp;TEXT(_xlfn.ISOWEEKNUM(Runhours_Table[[#This Row],[Date]]),"00")</f>
        <v>2520</v>
      </c>
      <c r="G421" s="38">
        <v>13.515556</v>
      </c>
      <c r="H421" s="38">
        <v>20.066666999999999</v>
      </c>
      <c r="I421" s="38">
        <f ca="1">_xlfn.ISOWEEKNUM(Runhours_Table[[#This Row],[Date]])+52*(Runhours_Table[[#This Row],[Year]]-YEAR(DATE(YEAR(TODAY()-WEEKDAY(TODAY()-1)+4),1,1)-MOD((DATE(YEAR(TODAY()-WEEKDAY(TODAY()-1)+4),1,1)-2),7)+(7*IF(MOD((DATE(YEAR(TODAY()-WEEKDAY(TODAY()-1)+4),1,1)-2),7)&gt;3,1,0))+7) )-_xlfn.ISOWEEKNUM(NOW())</f>
        <v>-17</v>
      </c>
      <c r="J421" s="345"/>
    </row>
    <row r="422" spans="1:10">
      <c r="A422" s="6" t="s">
        <v>4</v>
      </c>
      <c r="B422" s="6" t="str">
        <f>VLOOKUP(A422,Fleet[],2,FALSE)</f>
        <v>Intel</v>
      </c>
      <c r="C422" s="168">
        <v>45795</v>
      </c>
      <c r="D422" s="346">
        <f>YEAR(DATE(YEAR(Runhours_Table[[#This Row],[Date]]-WEEKDAY(Runhours_Table[[#This Row],[Date]]-1)+4),1,1)-MOD((DATE(YEAR(Runhours_Table[[#This Row],[Date]]-WEEKDAY(Runhours_Table[[#This Row],[Date]]-1)+4),1,1)-2),7)+(7*IF(MOD((DATE(YEAR(Runhours_Table[[#This Row],[Date]]-WEEKDAY(Runhours_Table[[#This Row],[Date]]-1)+4),1,1)-2),7)&gt;3,1,0))+7)</f>
        <v>2025</v>
      </c>
      <c r="E422" s="164">
        <f>_xlfn.ISOWEEKNUM(Runhours_Table[[#This Row],[Date]])</f>
        <v>20</v>
      </c>
      <c r="F422" s="160" t="str">
        <f>RIGHT(YEAR(Runhours_Table[[#This Row],[Date]]),2)&amp;TEXT(_xlfn.ISOWEEKNUM(Runhours_Table[[#This Row],[Date]]),"00")</f>
        <v>2520</v>
      </c>
      <c r="G422" s="38">
        <v>9.8138889999999996</v>
      </c>
      <c r="H422" s="38">
        <v>16.016666999999998</v>
      </c>
      <c r="I422" s="38">
        <f ca="1">_xlfn.ISOWEEKNUM(Runhours_Table[[#This Row],[Date]])+52*(Runhours_Table[[#This Row],[Year]]-YEAR(DATE(YEAR(TODAY()-WEEKDAY(TODAY()-1)+4),1,1)-MOD((DATE(YEAR(TODAY()-WEEKDAY(TODAY()-1)+4),1,1)-2),7)+(7*IF(MOD((DATE(YEAR(TODAY()-WEEKDAY(TODAY()-1)+4),1,1)-2),7)&gt;3,1,0))+7) )-_xlfn.ISOWEEKNUM(NOW())</f>
        <v>-17</v>
      </c>
      <c r="J422" s="345"/>
    </row>
    <row r="423" spans="1:10">
      <c r="A423" s="6" t="s">
        <v>7</v>
      </c>
      <c r="B423" s="6" t="str">
        <f>VLOOKUP(A423,Fleet[],2,FALSE)</f>
        <v>Intel</v>
      </c>
      <c r="C423" s="168">
        <v>45795</v>
      </c>
      <c r="D423" s="346">
        <f>YEAR(DATE(YEAR(Runhours_Table[[#This Row],[Date]]-WEEKDAY(Runhours_Table[[#This Row],[Date]]-1)+4),1,1)-MOD((DATE(YEAR(Runhours_Table[[#This Row],[Date]]-WEEKDAY(Runhours_Table[[#This Row],[Date]]-1)+4),1,1)-2),7)+(7*IF(MOD((DATE(YEAR(Runhours_Table[[#This Row],[Date]]-WEEKDAY(Runhours_Table[[#This Row],[Date]]-1)+4),1,1)-2),7)&gt;3,1,0))+7)</f>
        <v>2025</v>
      </c>
      <c r="E423" s="164">
        <f>_xlfn.ISOWEEKNUM(Runhours_Table[[#This Row],[Date]])</f>
        <v>20</v>
      </c>
      <c r="F423" s="160" t="str">
        <f>RIGHT(YEAR(Runhours_Table[[#This Row],[Date]]),2)&amp;TEXT(_xlfn.ISOWEEKNUM(Runhours_Table[[#This Row],[Date]]),"00")</f>
        <v>2520</v>
      </c>
      <c r="G423" s="38">
        <v>12.7525</v>
      </c>
      <c r="H423" s="38">
        <v>17.966667000000001</v>
      </c>
      <c r="I423" s="38">
        <f ca="1">_xlfn.ISOWEEKNUM(Runhours_Table[[#This Row],[Date]])+52*(Runhours_Table[[#This Row],[Year]]-YEAR(DATE(YEAR(TODAY()-WEEKDAY(TODAY()-1)+4),1,1)-MOD((DATE(YEAR(TODAY()-WEEKDAY(TODAY()-1)+4),1,1)-2),7)+(7*IF(MOD((DATE(YEAR(TODAY()-WEEKDAY(TODAY()-1)+4),1,1)-2),7)&gt;3,1,0))+7) )-_xlfn.ISOWEEKNUM(NOW())</f>
        <v>-17</v>
      </c>
      <c r="J423" s="345"/>
    </row>
    <row r="424" spans="1:10">
      <c r="A424" s="6" t="s">
        <v>4</v>
      </c>
      <c r="B424" s="6" t="str">
        <f>VLOOKUP(A424,Fleet[],2,FALSE)</f>
        <v>Intel</v>
      </c>
      <c r="C424" s="168">
        <v>45796</v>
      </c>
      <c r="D424" s="346">
        <f>YEAR(DATE(YEAR(Runhours_Table[[#This Row],[Date]]-WEEKDAY(Runhours_Table[[#This Row],[Date]]-1)+4),1,1)-MOD((DATE(YEAR(Runhours_Table[[#This Row],[Date]]-WEEKDAY(Runhours_Table[[#This Row],[Date]]-1)+4),1,1)-2),7)+(7*IF(MOD((DATE(YEAR(Runhours_Table[[#This Row],[Date]]-WEEKDAY(Runhours_Table[[#This Row],[Date]]-1)+4),1,1)-2),7)&gt;3,1,0))+7)</f>
        <v>2025</v>
      </c>
      <c r="E424" s="164">
        <f>_xlfn.ISOWEEKNUM(Runhours_Table[[#This Row],[Date]])</f>
        <v>21</v>
      </c>
      <c r="F424" s="160" t="str">
        <f>RIGHT(YEAR(Runhours_Table[[#This Row],[Date]]),2)&amp;TEXT(_xlfn.ISOWEEKNUM(Runhours_Table[[#This Row],[Date]]),"00")</f>
        <v>2521</v>
      </c>
      <c r="G424" s="38">
        <v>6.4755560000000001</v>
      </c>
      <c r="H424" s="38">
        <v>21.1</v>
      </c>
      <c r="I424" s="38">
        <f ca="1">_xlfn.ISOWEEKNUM(Runhours_Table[[#This Row],[Date]])+52*(Runhours_Table[[#This Row],[Year]]-YEAR(DATE(YEAR(TODAY()-WEEKDAY(TODAY()-1)+4),1,1)-MOD((DATE(YEAR(TODAY()-WEEKDAY(TODAY()-1)+4),1,1)-2),7)+(7*IF(MOD((DATE(YEAR(TODAY()-WEEKDAY(TODAY()-1)+4),1,1)-2),7)&gt;3,1,0))+7) )-_xlfn.ISOWEEKNUM(NOW())</f>
        <v>-16</v>
      </c>
      <c r="J424" s="345"/>
    </row>
    <row r="425" spans="1:10">
      <c r="A425" s="6" t="s">
        <v>7</v>
      </c>
      <c r="B425" s="6" t="str">
        <f>VLOOKUP(A425,Fleet[],2,FALSE)</f>
        <v>Intel</v>
      </c>
      <c r="C425" s="168">
        <v>45796</v>
      </c>
      <c r="D425" s="346">
        <f>YEAR(DATE(YEAR(Runhours_Table[[#This Row],[Date]]-WEEKDAY(Runhours_Table[[#This Row],[Date]]-1)+4),1,1)-MOD((DATE(YEAR(Runhours_Table[[#This Row],[Date]]-WEEKDAY(Runhours_Table[[#This Row],[Date]]-1)+4),1,1)-2),7)+(7*IF(MOD((DATE(YEAR(Runhours_Table[[#This Row],[Date]]-WEEKDAY(Runhours_Table[[#This Row],[Date]]-1)+4),1,1)-2),7)&gt;3,1,0))+7)</f>
        <v>2025</v>
      </c>
      <c r="E425" s="164">
        <f>_xlfn.ISOWEEKNUM(Runhours_Table[[#This Row],[Date]])</f>
        <v>21</v>
      </c>
      <c r="F425" s="160" t="str">
        <f>RIGHT(YEAR(Runhours_Table[[#This Row],[Date]]),2)&amp;TEXT(_xlfn.ISOWEEKNUM(Runhours_Table[[#This Row],[Date]]),"00")</f>
        <v>2521</v>
      </c>
      <c r="G425" s="38">
        <v>9.0975000000000001</v>
      </c>
      <c r="H425" s="38">
        <v>16.116667</v>
      </c>
      <c r="I425" s="38">
        <f ca="1">_xlfn.ISOWEEKNUM(Runhours_Table[[#This Row],[Date]])+52*(Runhours_Table[[#This Row],[Year]]-YEAR(DATE(YEAR(TODAY()-WEEKDAY(TODAY()-1)+4),1,1)-MOD((DATE(YEAR(TODAY()-WEEKDAY(TODAY()-1)+4),1,1)-2),7)+(7*IF(MOD((DATE(YEAR(TODAY()-WEEKDAY(TODAY()-1)+4),1,1)-2),7)&gt;3,1,0))+7) )-_xlfn.ISOWEEKNUM(NOW())</f>
        <v>-16</v>
      </c>
      <c r="J425" s="345"/>
    </row>
    <row r="426" spans="1:10">
      <c r="A426" s="6" t="s">
        <v>4</v>
      </c>
      <c r="B426" s="6" t="str">
        <f>VLOOKUP(A426,Fleet[],2,FALSE)</f>
        <v>Intel</v>
      </c>
      <c r="C426" s="168">
        <v>45797</v>
      </c>
      <c r="D426" s="346">
        <f>YEAR(DATE(YEAR(Runhours_Table[[#This Row],[Date]]-WEEKDAY(Runhours_Table[[#This Row],[Date]]-1)+4),1,1)-MOD((DATE(YEAR(Runhours_Table[[#This Row],[Date]]-WEEKDAY(Runhours_Table[[#This Row],[Date]]-1)+4),1,1)-2),7)+(7*IF(MOD((DATE(YEAR(Runhours_Table[[#This Row],[Date]]-WEEKDAY(Runhours_Table[[#This Row],[Date]]-1)+4),1,1)-2),7)&gt;3,1,0))+7)</f>
        <v>2025</v>
      </c>
      <c r="E426" s="164">
        <f>_xlfn.ISOWEEKNUM(Runhours_Table[[#This Row],[Date]])</f>
        <v>21</v>
      </c>
      <c r="F426" s="160" t="str">
        <f>RIGHT(YEAR(Runhours_Table[[#This Row],[Date]]),2)&amp;TEXT(_xlfn.ISOWEEKNUM(Runhours_Table[[#This Row],[Date]]),"00")</f>
        <v>2521</v>
      </c>
      <c r="G426" s="38">
        <v>8.0608330000000006</v>
      </c>
      <c r="H426" s="38">
        <v>14.033333000000001</v>
      </c>
      <c r="I426" s="38">
        <f ca="1">_xlfn.ISOWEEKNUM(Runhours_Table[[#This Row],[Date]])+52*(Runhours_Table[[#This Row],[Year]]-YEAR(DATE(YEAR(TODAY()-WEEKDAY(TODAY()-1)+4),1,1)-MOD((DATE(YEAR(TODAY()-WEEKDAY(TODAY()-1)+4),1,1)-2),7)+(7*IF(MOD((DATE(YEAR(TODAY()-WEEKDAY(TODAY()-1)+4),1,1)-2),7)&gt;3,1,0))+7) )-_xlfn.ISOWEEKNUM(NOW())</f>
        <v>-16</v>
      </c>
      <c r="J426" s="345"/>
    </row>
    <row r="427" spans="1:10">
      <c r="A427" s="6" t="s">
        <v>7</v>
      </c>
      <c r="B427" s="6" t="str">
        <f>VLOOKUP(A427,Fleet[],2,FALSE)</f>
        <v>Intel</v>
      </c>
      <c r="C427" s="168">
        <v>45797</v>
      </c>
      <c r="D427" s="346">
        <f>YEAR(DATE(YEAR(Runhours_Table[[#This Row],[Date]]-WEEKDAY(Runhours_Table[[#This Row],[Date]]-1)+4),1,1)-MOD((DATE(YEAR(Runhours_Table[[#This Row],[Date]]-WEEKDAY(Runhours_Table[[#This Row],[Date]]-1)+4),1,1)-2),7)+(7*IF(MOD((DATE(YEAR(Runhours_Table[[#This Row],[Date]]-WEEKDAY(Runhours_Table[[#This Row],[Date]]-1)+4),1,1)-2),7)&gt;3,1,0))+7)</f>
        <v>2025</v>
      </c>
      <c r="E427" s="164">
        <f>_xlfn.ISOWEEKNUM(Runhours_Table[[#This Row],[Date]])</f>
        <v>21</v>
      </c>
      <c r="F427" s="160" t="str">
        <f>RIGHT(YEAR(Runhours_Table[[#This Row],[Date]]),2)&amp;TEXT(_xlfn.ISOWEEKNUM(Runhours_Table[[#This Row],[Date]]),"00")</f>
        <v>2521</v>
      </c>
      <c r="G427" s="38">
        <v>13.394722</v>
      </c>
      <c r="H427" s="38">
        <v>21.35</v>
      </c>
      <c r="I427" s="38">
        <f ca="1">_xlfn.ISOWEEKNUM(Runhours_Table[[#This Row],[Date]])+52*(Runhours_Table[[#This Row],[Year]]-YEAR(DATE(YEAR(TODAY()-WEEKDAY(TODAY()-1)+4),1,1)-MOD((DATE(YEAR(TODAY()-WEEKDAY(TODAY()-1)+4),1,1)-2),7)+(7*IF(MOD((DATE(YEAR(TODAY()-WEEKDAY(TODAY()-1)+4),1,1)-2),7)&gt;3,1,0))+7) )-_xlfn.ISOWEEKNUM(NOW())</f>
        <v>-16</v>
      </c>
      <c r="J427" s="345"/>
    </row>
    <row r="428" spans="1:10">
      <c r="A428" s="6" t="s">
        <v>4</v>
      </c>
      <c r="B428" s="6" t="str">
        <f>VLOOKUP(A428,Fleet[],2,FALSE)</f>
        <v>Intel</v>
      </c>
      <c r="C428" s="168">
        <v>45798</v>
      </c>
      <c r="D428" s="346">
        <f>YEAR(DATE(YEAR(Runhours_Table[[#This Row],[Date]]-WEEKDAY(Runhours_Table[[#This Row],[Date]]-1)+4),1,1)-MOD((DATE(YEAR(Runhours_Table[[#This Row],[Date]]-WEEKDAY(Runhours_Table[[#This Row],[Date]]-1)+4),1,1)-2),7)+(7*IF(MOD((DATE(YEAR(Runhours_Table[[#This Row],[Date]]-WEEKDAY(Runhours_Table[[#This Row],[Date]]-1)+4),1,1)-2),7)&gt;3,1,0))+7)</f>
        <v>2025</v>
      </c>
      <c r="E428" s="164">
        <f>_xlfn.ISOWEEKNUM(Runhours_Table[[#This Row],[Date]])</f>
        <v>21</v>
      </c>
      <c r="F428" s="160" t="str">
        <f>RIGHT(YEAR(Runhours_Table[[#This Row],[Date]]),2)&amp;TEXT(_xlfn.ISOWEEKNUM(Runhours_Table[[#This Row],[Date]]),"00")</f>
        <v>2521</v>
      </c>
      <c r="G428" s="38">
        <v>0.905833</v>
      </c>
      <c r="H428" s="38">
        <v>2.9333329999999997</v>
      </c>
      <c r="I428" s="38">
        <f ca="1">_xlfn.ISOWEEKNUM(Runhours_Table[[#This Row],[Date]])+52*(Runhours_Table[[#This Row],[Year]]-YEAR(DATE(YEAR(TODAY()-WEEKDAY(TODAY()-1)+4),1,1)-MOD((DATE(YEAR(TODAY()-WEEKDAY(TODAY()-1)+4),1,1)-2),7)+(7*IF(MOD((DATE(YEAR(TODAY()-WEEKDAY(TODAY()-1)+4),1,1)-2),7)&gt;3,1,0))+7) )-_xlfn.ISOWEEKNUM(NOW())</f>
        <v>-16</v>
      </c>
      <c r="J428" s="345"/>
    </row>
    <row r="429" spans="1:10">
      <c r="A429" s="6" t="s">
        <v>7</v>
      </c>
      <c r="B429" s="6" t="str">
        <f>VLOOKUP(A429,Fleet[],2,FALSE)</f>
        <v>Intel</v>
      </c>
      <c r="C429" s="168">
        <v>45798</v>
      </c>
      <c r="D429" s="346">
        <f>YEAR(DATE(YEAR(Runhours_Table[[#This Row],[Date]]-WEEKDAY(Runhours_Table[[#This Row],[Date]]-1)+4),1,1)-MOD((DATE(YEAR(Runhours_Table[[#This Row],[Date]]-WEEKDAY(Runhours_Table[[#This Row],[Date]]-1)+4),1,1)-2),7)+(7*IF(MOD((DATE(YEAR(Runhours_Table[[#This Row],[Date]]-WEEKDAY(Runhours_Table[[#This Row],[Date]]-1)+4),1,1)-2),7)&gt;3,1,0))+7)</f>
        <v>2025</v>
      </c>
      <c r="E429" s="164">
        <f>_xlfn.ISOWEEKNUM(Runhours_Table[[#This Row],[Date]])</f>
        <v>21</v>
      </c>
      <c r="F429" s="160" t="str">
        <f>RIGHT(YEAR(Runhours_Table[[#This Row],[Date]]),2)&amp;TEXT(_xlfn.ISOWEEKNUM(Runhours_Table[[#This Row],[Date]]),"00")</f>
        <v>2521</v>
      </c>
      <c r="G429" s="38">
        <v>12.066943999999999</v>
      </c>
      <c r="H429" s="38">
        <v>15.283332999999999</v>
      </c>
      <c r="I429" s="38">
        <f ca="1">_xlfn.ISOWEEKNUM(Runhours_Table[[#This Row],[Date]])+52*(Runhours_Table[[#This Row],[Year]]-YEAR(DATE(YEAR(TODAY()-WEEKDAY(TODAY()-1)+4),1,1)-MOD((DATE(YEAR(TODAY()-WEEKDAY(TODAY()-1)+4),1,1)-2),7)+(7*IF(MOD((DATE(YEAR(TODAY()-WEEKDAY(TODAY()-1)+4),1,1)-2),7)&gt;3,1,0))+7) )-_xlfn.ISOWEEKNUM(NOW())</f>
        <v>-16</v>
      </c>
      <c r="J429" s="345"/>
    </row>
    <row r="430" spans="1:10">
      <c r="A430" s="6" t="s">
        <v>4</v>
      </c>
      <c r="B430" s="6" t="str">
        <f>VLOOKUP(A430,Fleet[],2,FALSE)</f>
        <v>Intel</v>
      </c>
      <c r="C430" s="168">
        <v>45799</v>
      </c>
      <c r="D430" s="346">
        <f>YEAR(DATE(YEAR(Runhours_Table[[#This Row],[Date]]-WEEKDAY(Runhours_Table[[#This Row],[Date]]-1)+4),1,1)-MOD((DATE(YEAR(Runhours_Table[[#This Row],[Date]]-WEEKDAY(Runhours_Table[[#This Row],[Date]]-1)+4),1,1)-2),7)+(7*IF(MOD((DATE(YEAR(Runhours_Table[[#This Row],[Date]]-WEEKDAY(Runhours_Table[[#This Row],[Date]]-1)+4),1,1)-2),7)&gt;3,1,0))+7)</f>
        <v>2025</v>
      </c>
      <c r="E430" s="164">
        <f>_xlfn.ISOWEEKNUM(Runhours_Table[[#This Row],[Date]])</f>
        <v>21</v>
      </c>
      <c r="F430" s="160" t="str">
        <f>RIGHT(YEAR(Runhours_Table[[#This Row],[Date]]),2)&amp;TEXT(_xlfn.ISOWEEKNUM(Runhours_Table[[#This Row],[Date]]),"00")</f>
        <v>2521</v>
      </c>
      <c r="G430" s="38">
        <v>10.041944000000001</v>
      </c>
      <c r="H430" s="38">
        <v>22.85</v>
      </c>
      <c r="I430" s="38">
        <f ca="1">_xlfn.ISOWEEKNUM(Runhours_Table[[#This Row],[Date]])+52*(Runhours_Table[[#This Row],[Year]]-YEAR(DATE(YEAR(TODAY()-WEEKDAY(TODAY()-1)+4),1,1)-MOD((DATE(YEAR(TODAY()-WEEKDAY(TODAY()-1)+4),1,1)-2),7)+(7*IF(MOD((DATE(YEAR(TODAY()-WEEKDAY(TODAY()-1)+4),1,1)-2),7)&gt;3,1,0))+7) )-_xlfn.ISOWEEKNUM(NOW())</f>
        <v>-16</v>
      </c>
      <c r="J430" s="345"/>
    </row>
    <row r="431" spans="1:10">
      <c r="A431" s="39" t="s">
        <v>7</v>
      </c>
      <c r="B431" s="6" t="str">
        <f>VLOOKUP(A431,Fleet[],2,FALSE)</f>
        <v>Intel</v>
      </c>
      <c r="C431" s="168">
        <v>45799</v>
      </c>
      <c r="D431" s="346">
        <f>YEAR(DATE(YEAR(Runhours_Table[[#This Row],[Date]]-WEEKDAY(Runhours_Table[[#This Row],[Date]]-1)+4),1,1)-MOD((DATE(YEAR(Runhours_Table[[#This Row],[Date]]-WEEKDAY(Runhours_Table[[#This Row],[Date]]-1)+4),1,1)-2),7)+(7*IF(MOD((DATE(YEAR(Runhours_Table[[#This Row],[Date]]-WEEKDAY(Runhours_Table[[#This Row],[Date]]-1)+4),1,1)-2),7)&gt;3,1,0))+7)</f>
        <v>2025</v>
      </c>
      <c r="E431" s="164">
        <f>_xlfn.ISOWEEKNUM(Runhours_Table[[#This Row],[Date]])</f>
        <v>21</v>
      </c>
      <c r="F431" s="160" t="str">
        <f>RIGHT(YEAR(Runhours_Table[[#This Row],[Date]]),2)&amp;TEXT(_xlfn.ISOWEEKNUM(Runhours_Table[[#This Row],[Date]]),"00")</f>
        <v>2521</v>
      </c>
      <c r="G431" s="38">
        <v>13.708055999999999</v>
      </c>
      <c r="H431" s="38">
        <v>21.566666999999999</v>
      </c>
      <c r="I431" s="38">
        <f ca="1">_xlfn.ISOWEEKNUM(Runhours_Table[[#This Row],[Date]])+52*(Runhours_Table[[#This Row],[Year]]-YEAR(DATE(YEAR(TODAY()-WEEKDAY(TODAY()-1)+4),1,1)-MOD((DATE(YEAR(TODAY()-WEEKDAY(TODAY()-1)+4),1,1)-2),7)+(7*IF(MOD((DATE(YEAR(TODAY()-WEEKDAY(TODAY()-1)+4),1,1)-2),7)&gt;3,1,0))+7) )-_xlfn.ISOWEEKNUM(NOW())</f>
        <v>-16</v>
      </c>
      <c r="J431" s="345"/>
    </row>
    <row r="432" spans="1:10">
      <c r="A432" s="39" t="s">
        <v>4</v>
      </c>
      <c r="B432" s="6" t="str">
        <f>VLOOKUP(A432,Fleet[],2,FALSE)</f>
        <v>Intel</v>
      </c>
      <c r="C432" s="169">
        <v>45800</v>
      </c>
      <c r="D432" s="346">
        <f>YEAR(DATE(YEAR(Runhours_Table[[#This Row],[Date]]-WEEKDAY(Runhours_Table[[#This Row],[Date]]-1)+4),1,1)-MOD((DATE(YEAR(Runhours_Table[[#This Row],[Date]]-WEEKDAY(Runhours_Table[[#This Row],[Date]]-1)+4),1,1)-2),7)+(7*IF(MOD((DATE(YEAR(Runhours_Table[[#This Row],[Date]]-WEEKDAY(Runhours_Table[[#This Row],[Date]]-1)+4),1,1)-2),7)&gt;3,1,0))+7)</f>
        <v>2025</v>
      </c>
      <c r="E432" s="164">
        <f>_xlfn.ISOWEEKNUM(Runhours_Table[[#This Row],[Date]])</f>
        <v>21</v>
      </c>
      <c r="F432" s="160" t="str">
        <f>RIGHT(YEAR(Runhours_Table[[#This Row],[Date]]),2)&amp;TEXT(_xlfn.ISOWEEKNUM(Runhours_Table[[#This Row],[Date]]),"00")</f>
        <v>2521</v>
      </c>
      <c r="G432" s="38">
        <v>15.605556</v>
      </c>
      <c r="H432" s="38">
        <v>18.666667</v>
      </c>
      <c r="I432" s="38">
        <f ca="1">_xlfn.ISOWEEKNUM(Runhours_Table[[#This Row],[Date]])+52*(Runhours_Table[[#This Row],[Year]]-YEAR(DATE(YEAR(TODAY()-WEEKDAY(TODAY()-1)+4),1,1)-MOD((DATE(YEAR(TODAY()-WEEKDAY(TODAY()-1)+4),1,1)-2),7)+(7*IF(MOD((DATE(YEAR(TODAY()-WEEKDAY(TODAY()-1)+4),1,1)-2),7)&gt;3,1,0))+7) )-_xlfn.ISOWEEKNUM(NOW())</f>
        <v>-16</v>
      </c>
      <c r="J432" s="345"/>
    </row>
    <row r="433" spans="1:10">
      <c r="A433" s="39" t="s">
        <v>7</v>
      </c>
      <c r="B433" s="6" t="str">
        <f>VLOOKUP(A433,Fleet[],2,FALSE)</f>
        <v>Intel</v>
      </c>
      <c r="C433" s="169">
        <v>45800</v>
      </c>
      <c r="D433" s="346">
        <f>YEAR(DATE(YEAR(Runhours_Table[[#This Row],[Date]]-WEEKDAY(Runhours_Table[[#This Row],[Date]]-1)+4),1,1)-MOD((DATE(YEAR(Runhours_Table[[#This Row],[Date]]-WEEKDAY(Runhours_Table[[#This Row],[Date]]-1)+4),1,1)-2),7)+(7*IF(MOD((DATE(YEAR(Runhours_Table[[#This Row],[Date]]-WEEKDAY(Runhours_Table[[#This Row],[Date]]-1)+4),1,1)-2),7)&gt;3,1,0))+7)</f>
        <v>2025</v>
      </c>
      <c r="E433" s="164">
        <f>_xlfn.ISOWEEKNUM(Runhours_Table[[#This Row],[Date]])</f>
        <v>21</v>
      </c>
      <c r="F433" s="160" t="str">
        <f>RIGHT(YEAR(Runhours_Table[[#This Row],[Date]]),2)&amp;TEXT(_xlfn.ISOWEEKNUM(Runhours_Table[[#This Row],[Date]]),"00")</f>
        <v>2521</v>
      </c>
      <c r="G433" s="38">
        <v>21.552222</v>
      </c>
      <c r="H433" s="38">
        <v>24</v>
      </c>
      <c r="I433" s="38">
        <f ca="1">_xlfn.ISOWEEKNUM(Runhours_Table[[#This Row],[Date]])+52*(Runhours_Table[[#This Row],[Year]]-YEAR(DATE(YEAR(TODAY()-WEEKDAY(TODAY()-1)+4),1,1)-MOD((DATE(YEAR(TODAY()-WEEKDAY(TODAY()-1)+4),1,1)-2),7)+(7*IF(MOD((DATE(YEAR(TODAY()-WEEKDAY(TODAY()-1)+4),1,1)-2),7)&gt;3,1,0))+7) )-_xlfn.ISOWEEKNUM(NOW())</f>
        <v>-16</v>
      </c>
      <c r="J433" s="345"/>
    </row>
    <row r="434" spans="1:10">
      <c r="A434" s="39" t="s">
        <v>4</v>
      </c>
      <c r="B434" s="6" t="str">
        <f>VLOOKUP(A434,Fleet[],2,FALSE)</f>
        <v>Intel</v>
      </c>
      <c r="C434" s="169">
        <v>45801</v>
      </c>
      <c r="D434" s="346">
        <f>YEAR(DATE(YEAR(Runhours_Table[[#This Row],[Date]]-WEEKDAY(Runhours_Table[[#This Row],[Date]]-1)+4),1,1)-MOD((DATE(YEAR(Runhours_Table[[#This Row],[Date]]-WEEKDAY(Runhours_Table[[#This Row],[Date]]-1)+4),1,1)-2),7)+(7*IF(MOD((DATE(YEAR(Runhours_Table[[#This Row],[Date]]-WEEKDAY(Runhours_Table[[#This Row],[Date]]-1)+4),1,1)-2),7)&gt;3,1,0))+7)</f>
        <v>2025</v>
      </c>
      <c r="E434" s="164">
        <f>_xlfn.ISOWEEKNUM(Runhours_Table[[#This Row],[Date]])</f>
        <v>21</v>
      </c>
      <c r="F434" s="160" t="str">
        <f>RIGHT(YEAR(Runhours_Table[[#This Row],[Date]]),2)&amp;TEXT(_xlfn.ISOWEEKNUM(Runhours_Table[[#This Row],[Date]]),"00")</f>
        <v>2521</v>
      </c>
      <c r="G434" s="38">
        <v>15.866667</v>
      </c>
      <c r="H434" s="38">
        <v>19.316666999999999</v>
      </c>
      <c r="I434" s="38">
        <f ca="1">_xlfn.ISOWEEKNUM(Runhours_Table[[#This Row],[Date]])+52*(Runhours_Table[[#This Row],[Year]]-YEAR(DATE(YEAR(TODAY()-WEEKDAY(TODAY()-1)+4),1,1)-MOD((DATE(YEAR(TODAY()-WEEKDAY(TODAY()-1)+4),1,1)-2),7)+(7*IF(MOD((DATE(YEAR(TODAY()-WEEKDAY(TODAY()-1)+4),1,1)-2),7)&gt;3,1,0))+7) )-_xlfn.ISOWEEKNUM(NOW())</f>
        <v>-16</v>
      </c>
      <c r="J434" s="345"/>
    </row>
    <row r="435" spans="1:10">
      <c r="A435" s="39" t="s">
        <v>7</v>
      </c>
      <c r="B435" s="6" t="str">
        <f>VLOOKUP(A435,Fleet[],2,FALSE)</f>
        <v>Intel</v>
      </c>
      <c r="C435" s="169">
        <v>45801</v>
      </c>
      <c r="D435" s="346">
        <f>YEAR(DATE(YEAR(Runhours_Table[[#This Row],[Date]]-WEEKDAY(Runhours_Table[[#This Row],[Date]]-1)+4),1,1)-MOD((DATE(YEAR(Runhours_Table[[#This Row],[Date]]-WEEKDAY(Runhours_Table[[#This Row],[Date]]-1)+4),1,1)-2),7)+(7*IF(MOD((DATE(YEAR(Runhours_Table[[#This Row],[Date]]-WEEKDAY(Runhours_Table[[#This Row],[Date]]-1)+4),1,1)-2),7)&gt;3,1,0))+7)</f>
        <v>2025</v>
      </c>
      <c r="E435" s="164">
        <f>_xlfn.ISOWEEKNUM(Runhours_Table[[#This Row],[Date]])</f>
        <v>21</v>
      </c>
      <c r="F435" s="160" t="str">
        <f>RIGHT(YEAR(Runhours_Table[[#This Row],[Date]]),2)&amp;TEXT(_xlfn.ISOWEEKNUM(Runhours_Table[[#This Row],[Date]]),"00")</f>
        <v>2521</v>
      </c>
      <c r="G435" s="38">
        <v>14.375556</v>
      </c>
      <c r="H435" s="38">
        <v>20.9</v>
      </c>
      <c r="I435" s="38">
        <f ca="1">_xlfn.ISOWEEKNUM(Runhours_Table[[#This Row],[Date]])+52*(Runhours_Table[[#This Row],[Year]]-YEAR(DATE(YEAR(TODAY()-WEEKDAY(TODAY()-1)+4),1,1)-MOD((DATE(YEAR(TODAY()-WEEKDAY(TODAY()-1)+4),1,1)-2),7)+(7*IF(MOD((DATE(YEAR(TODAY()-WEEKDAY(TODAY()-1)+4),1,1)-2),7)&gt;3,1,0))+7) )-_xlfn.ISOWEEKNUM(NOW())</f>
        <v>-16</v>
      </c>
      <c r="J435" s="345"/>
    </row>
    <row r="436" spans="1:10">
      <c r="A436" s="39" t="s">
        <v>4</v>
      </c>
      <c r="B436" s="6" t="str">
        <f>VLOOKUP(A436,Fleet[],2,FALSE)</f>
        <v>Intel</v>
      </c>
      <c r="C436" s="169">
        <v>45802</v>
      </c>
      <c r="D436" s="346">
        <f>YEAR(DATE(YEAR(Runhours_Table[[#This Row],[Date]]-WEEKDAY(Runhours_Table[[#This Row],[Date]]-1)+4),1,1)-MOD((DATE(YEAR(Runhours_Table[[#This Row],[Date]]-WEEKDAY(Runhours_Table[[#This Row],[Date]]-1)+4),1,1)-2),7)+(7*IF(MOD((DATE(YEAR(Runhours_Table[[#This Row],[Date]]-WEEKDAY(Runhours_Table[[#This Row],[Date]]-1)+4),1,1)-2),7)&gt;3,1,0))+7)</f>
        <v>2025</v>
      </c>
      <c r="E436" s="164">
        <f>_xlfn.ISOWEEKNUM(Runhours_Table[[#This Row],[Date]])</f>
        <v>21</v>
      </c>
      <c r="F436" s="160" t="str">
        <f>RIGHT(YEAR(Runhours_Table[[#This Row],[Date]]),2)&amp;TEXT(_xlfn.ISOWEEKNUM(Runhours_Table[[#This Row],[Date]]),"00")</f>
        <v>2521</v>
      </c>
      <c r="G436" s="38">
        <v>16.283611000000001</v>
      </c>
      <c r="H436" s="38">
        <v>22.933333000000001</v>
      </c>
      <c r="I436" s="38">
        <f ca="1">_xlfn.ISOWEEKNUM(Runhours_Table[[#This Row],[Date]])+52*(Runhours_Table[[#This Row],[Year]]-YEAR(DATE(YEAR(TODAY()-WEEKDAY(TODAY()-1)+4),1,1)-MOD((DATE(YEAR(TODAY()-WEEKDAY(TODAY()-1)+4),1,1)-2),7)+(7*IF(MOD((DATE(YEAR(TODAY()-WEEKDAY(TODAY()-1)+4),1,1)-2),7)&gt;3,1,0))+7) )-_xlfn.ISOWEEKNUM(NOW())</f>
        <v>-16</v>
      </c>
      <c r="J436" s="345"/>
    </row>
    <row r="437" spans="1:10">
      <c r="A437" s="39" t="s">
        <v>7</v>
      </c>
      <c r="B437" s="6" t="str">
        <f>VLOOKUP(A437,Fleet[],2,FALSE)</f>
        <v>Intel</v>
      </c>
      <c r="C437" s="169">
        <v>45802</v>
      </c>
      <c r="D437" s="346">
        <f>YEAR(DATE(YEAR(Runhours_Table[[#This Row],[Date]]-WEEKDAY(Runhours_Table[[#This Row],[Date]]-1)+4),1,1)-MOD((DATE(YEAR(Runhours_Table[[#This Row],[Date]]-WEEKDAY(Runhours_Table[[#This Row],[Date]]-1)+4),1,1)-2),7)+(7*IF(MOD((DATE(YEAR(Runhours_Table[[#This Row],[Date]]-WEEKDAY(Runhours_Table[[#This Row],[Date]]-1)+4),1,1)-2),7)&gt;3,1,0))+7)</f>
        <v>2025</v>
      </c>
      <c r="E437" s="164">
        <f>_xlfn.ISOWEEKNUM(Runhours_Table[[#This Row],[Date]])</f>
        <v>21</v>
      </c>
      <c r="F437" s="160" t="str">
        <f>RIGHT(YEAR(Runhours_Table[[#This Row],[Date]]),2)&amp;TEXT(_xlfn.ISOWEEKNUM(Runhours_Table[[#This Row],[Date]]),"00")</f>
        <v>2521</v>
      </c>
      <c r="G437" s="38">
        <v>16.5275</v>
      </c>
      <c r="H437" s="38">
        <v>20.05</v>
      </c>
      <c r="I437" s="38">
        <f ca="1">_xlfn.ISOWEEKNUM(Runhours_Table[[#This Row],[Date]])+52*(Runhours_Table[[#This Row],[Year]]-YEAR(DATE(YEAR(TODAY()-WEEKDAY(TODAY()-1)+4),1,1)-MOD((DATE(YEAR(TODAY()-WEEKDAY(TODAY()-1)+4),1,1)-2),7)+(7*IF(MOD((DATE(YEAR(TODAY()-WEEKDAY(TODAY()-1)+4),1,1)-2),7)&gt;3,1,0))+7) )-_xlfn.ISOWEEKNUM(NOW())</f>
        <v>-16</v>
      </c>
      <c r="J437" s="345"/>
    </row>
    <row r="438" spans="1:10">
      <c r="A438" s="39" t="s">
        <v>4</v>
      </c>
      <c r="B438" s="6" t="str">
        <f>VLOOKUP(A438,Fleet[],2,FALSE)</f>
        <v>Intel</v>
      </c>
      <c r="C438" s="169">
        <v>45803</v>
      </c>
      <c r="D438" s="346">
        <f>YEAR(DATE(YEAR(Runhours_Table[[#This Row],[Date]]-WEEKDAY(Runhours_Table[[#This Row],[Date]]-1)+4),1,1)-MOD((DATE(YEAR(Runhours_Table[[#This Row],[Date]]-WEEKDAY(Runhours_Table[[#This Row],[Date]]-1)+4),1,1)-2),7)+(7*IF(MOD((DATE(YEAR(Runhours_Table[[#This Row],[Date]]-WEEKDAY(Runhours_Table[[#This Row],[Date]]-1)+4),1,1)-2),7)&gt;3,1,0))+7)</f>
        <v>2025</v>
      </c>
      <c r="E438" s="164">
        <f>_xlfn.ISOWEEKNUM(Runhours_Table[[#This Row],[Date]])</f>
        <v>22</v>
      </c>
      <c r="F438" s="160" t="str">
        <f>RIGHT(YEAR(Runhours_Table[[#This Row],[Date]]),2)&amp;TEXT(_xlfn.ISOWEEKNUM(Runhours_Table[[#This Row],[Date]]),"00")</f>
        <v>2522</v>
      </c>
      <c r="G438" s="38">
        <v>13.691667000000001</v>
      </c>
      <c r="H438" s="38">
        <v>16.966667000000001</v>
      </c>
      <c r="I438" s="38">
        <f ca="1">_xlfn.ISOWEEKNUM(Runhours_Table[[#This Row],[Date]])+52*(Runhours_Table[[#This Row],[Year]]-YEAR(DATE(YEAR(TODAY()-WEEKDAY(TODAY()-1)+4),1,1)-MOD((DATE(YEAR(TODAY()-WEEKDAY(TODAY()-1)+4),1,1)-2),7)+(7*IF(MOD((DATE(YEAR(TODAY()-WEEKDAY(TODAY()-1)+4),1,1)-2),7)&gt;3,1,0))+7) )-_xlfn.ISOWEEKNUM(NOW())</f>
        <v>-15</v>
      </c>
      <c r="J438" s="345"/>
    </row>
    <row r="439" spans="1:10">
      <c r="A439" s="6" t="s">
        <v>7</v>
      </c>
      <c r="B439" s="6" t="str">
        <f>VLOOKUP(A439,Fleet[],2,FALSE)</f>
        <v>Intel</v>
      </c>
      <c r="C439" s="343">
        <v>45803</v>
      </c>
      <c r="D439" s="346">
        <f>YEAR(DATE(YEAR(Runhours_Table[[#This Row],[Date]]-WEEKDAY(Runhours_Table[[#This Row],[Date]]-1)+4),1,1)-MOD((DATE(YEAR(Runhours_Table[[#This Row],[Date]]-WEEKDAY(Runhours_Table[[#This Row],[Date]]-1)+4),1,1)-2),7)+(7*IF(MOD((DATE(YEAR(Runhours_Table[[#This Row],[Date]]-WEEKDAY(Runhours_Table[[#This Row],[Date]]-1)+4),1,1)-2),7)&gt;3,1,0))+7)</f>
        <v>2025</v>
      </c>
      <c r="E439" s="164">
        <f>_xlfn.ISOWEEKNUM(Runhours_Table[[#This Row],[Date]])</f>
        <v>22</v>
      </c>
      <c r="F439" s="160" t="str">
        <f>RIGHT(YEAR(Runhours_Table[[#This Row],[Date]]),2)&amp;TEXT(_xlfn.ISOWEEKNUM(Runhours_Table[[#This Row],[Date]]),"00")</f>
        <v>2522</v>
      </c>
      <c r="G439" s="345">
        <v>19.101666999999999</v>
      </c>
      <c r="H439" s="38">
        <v>22.599999999999998</v>
      </c>
      <c r="I439" s="38">
        <f ca="1">_xlfn.ISOWEEKNUM(Runhours_Table[[#This Row],[Date]])+52*(Runhours_Table[[#This Row],[Year]]-YEAR(DATE(YEAR(TODAY()-WEEKDAY(TODAY()-1)+4),1,1)-MOD((DATE(YEAR(TODAY()-WEEKDAY(TODAY()-1)+4),1,1)-2),7)+(7*IF(MOD((DATE(YEAR(TODAY()-WEEKDAY(TODAY()-1)+4),1,1)-2),7)&gt;3,1,0))+7) )-_xlfn.ISOWEEKNUM(NOW())</f>
        <v>-15</v>
      </c>
      <c r="J439" s="345"/>
    </row>
    <row r="440" spans="1:10">
      <c r="A440" s="6" t="s">
        <v>4</v>
      </c>
      <c r="B440" s="342" t="str">
        <f>VLOOKUP(A440,Fleet[],2,FALSE)</f>
        <v>Intel</v>
      </c>
      <c r="C440" s="343">
        <v>45804</v>
      </c>
      <c r="D440" s="346">
        <f>YEAR(DATE(YEAR(Runhours_Table[[#This Row],[Date]]-WEEKDAY(Runhours_Table[[#This Row],[Date]]-1)+4),1,1)-MOD((DATE(YEAR(Runhours_Table[[#This Row],[Date]]-WEEKDAY(Runhours_Table[[#This Row],[Date]]-1)+4),1,1)-2),7)+(7*IF(MOD((DATE(YEAR(Runhours_Table[[#This Row],[Date]]-WEEKDAY(Runhours_Table[[#This Row],[Date]]-1)+4),1,1)-2),7)&gt;3,1,0))+7)</f>
        <v>2025</v>
      </c>
      <c r="E440" s="167">
        <f>_xlfn.ISOWEEKNUM(Runhours_Table[[#This Row],[Date]])</f>
        <v>22</v>
      </c>
      <c r="F440" s="160" t="str">
        <f>RIGHT(YEAR(Runhours_Table[[#This Row],[Date]]),2)&amp;TEXT(_xlfn.ISOWEEKNUM(Runhours_Table[[#This Row],[Date]]),"00")</f>
        <v>2522</v>
      </c>
      <c r="G440" s="345">
        <v>9.9427780000000006</v>
      </c>
      <c r="H440" s="38">
        <v>16.633334000000001</v>
      </c>
      <c r="I440" s="38">
        <f ca="1">_xlfn.ISOWEEKNUM(Runhours_Table[[#This Row],[Date]])+52*(Runhours_Table[[#This Row],[Year]]-YEAR(DATE(YEAR(TODAY()-WEEKDAY(TODAY()-1)+4),1,1)-MOD((DATE(YEAR(TODAY()-WEEKDAY(TODAY()-1)+4),1,1)-2),7)+(7*IF(MOD((DATE(YEAR(TODAY()-WEEKDAY(TODAY()-1)+4),1,1)-2),7)&gt;3,1,0))+7) )-_xlfn.ISOWEEKNUM(NOW())</f>
        <v>-15</v>
      </c>
      <c r="J440" s="345"/>
    </row>
    <row r="441" spans="1:10">
      <c r="A441" s="6" t="s">
        <v>7</v>
      </c>
      <c r="B441" s="342" t="str">
        <f>VLOOKUP(A441,Fleet[],2,FALSE)</f>
        <v>Intel</v>
      </c>
      <c r="C441" s="343">
        <v>45804</v>
      </c>
      <c r="D441" s="346">
        <f>YEAR(DATE(YEAR(Runhours_Table[[#This Row],[Date]]-WEEKDAY(Runhours_Table[[#This Row],[Date]]-1)+4),1,1)-MOD((DATE(YEAR(Runhours_Table[[#This Row],[Date]]-WEEKDAY(Runhours_Table[[#This Row],[Date]]-1)+4),1,1)-2),7)+(7*IF(MOD((DATE(YEAR(Runhours_Table[[#This Row],[Date]]-WEEKDAY(Runhours_Table[[#This Row],[Date]]-1)+4),1,1)-2),7)&gt;3,1,0))+7)</f>
        <v>2025</v>
      </c>
      <c r="E441" s="167">
        <f>_xlfn.ISOWEEKNUM(Runhours_Table[[#This Row],[Date]])</f>
        <v>22</v>
      </c>
      <c r="F441" s="160" t="str">
        <f>RIGHT(YEAR(Runhours_Table[[#This Row],[Date]]),2)&amp;TEXT(_xlfn.ISOWEEKNUM(Runhours_Table[[#This Row],[Date]]),"00")</f>
        <v>2522</v>
      </c>
      <c r="G441" s="345">
        <v>19.145555999999999</v>
      </c>
      <c r="H441" s="38">
        <v>21.983333999999999</v>
      </c>
      <c r="I441" s="38">
        <f ca="1">_xlfn.ISOWEEKNUM(Runhours_Table[[#This Row],[Date]])+52*(Runhours_Table[[#This Row],[Year]]-YEAR(DATE(YEAR(TODAY()-WEEKDAY(TODAY()-1)+4),1,1)-MOD((DATE(YEAR(TODAY()-WEEKDAY(TODAY()-1)+4),1,1)-2),7)+(7*IF(MOD((DATE(YEAR(TODAY()-WEEKDAY(TODAY()-1)+4),1,1)-2),7)&gt;3,1,0))+7) )-_xlfn.ISOWEEKNUM(NOW())</f>
        <v>-15</v>
      </c>
      <c r="J441" s="345"/>
    </row>
    <row r="442" spans="1:10">
      <c r="A442" s="6" t="s">
        <v>4</v>
      </c>
      <c r="B442" s="342" t="str">
        <f>VLOOKUP(A442,Fleet[],2,FALSE)</f>
        <v>Intel</v>
      </c>
      <c r="C442" s="343">
        <v>45805</v>
      </c>
      <c r="D442" s="346">
        <f>YEAR(DATE(YEAR(Runhours_Table[[#This Row],[Date]]-WEEKDAY(Runhours_Table[[#This Row],[Date]]-1)+4),1,1)-MOD((DATE(YEAR(Runhours_Table[[#This Row],[Date]]-WEEKDAY(Runhours_Table[[#This Row],[Date]]-1)+4),1,1)-2),7)+(7*IF(MOD((DATE(YEAR(Runhours_Table[[#This Row],[Date]]-WEEKDAY(Runhours_Table[[#This Row],[Date]]-1)+4),1,1)-2),7)&gt;3,1,0))+7)</f>
        <v>2025</v>
      </c>
      <c r="E442" s="167">
        <f>_xlfn.ISOWEEKNUM(Runhours_Table[[#This Row],[Date]])</f>
        <v>22</v>
      </c>
      <c r="F442" s="160" t="str">
        <f>RIGHT(YEAR(Runhours_Table[[#This Row],[Date]]),2)&amp;TEXT(_xlfn.ISOWEEKNUM(Runhours_Table[[#This Row],[Date]]),"00")</f>
        <v>2522</v>
      </c>
      <c r="G442" s="345">
        <v>18.221111000000001</v>
      </c>
      <c r="H442" s="38">
        <v>22.983333000000002</v>
      </c>
      <c r="I442" s="38">
        <f ca="1">_xlfn.ISOWEEKNUM(Runhours_Table[[#This Row],[Date]])+52*(Runhours_Table[[#This Row],[Year]]-YEAR(DATE(YEAR(TODAY()-WEEKDAY(TODAY()-1)+4),1,1)-MOD((DATE(YEAR(TODAY()-WEEKDAY(TODAY()-1)+4),1,1)-2),7)+(7*IF(MOD((DATE(YEAR(TODAY()-WEEKDAY(TODAY()-1)+4),1,1)-2),7)&gt;3,1,0))+7) )-_xlfn.ISOWEEKNUM(NOW())</f>
        <v>-15</v>
      </c>
      <c r="J442" s="345"/>
    </row>
    <row r="443" spans="1:10">
      <c r="A443" s="6" t="s">
        <v>7</v>
      </c>
      <c r="B443" s="342" t="str">
        <f>VLOOKUP(A443,Fleet[],2,FALSE)</f>
        <v>Intel</v>
      </c>
      <c r="C443" s="343">
        <v>45805</v>
      </c>
      <c r="D443" s="346">
        <f>YEAR(DATE(YEAR(Runhours_Table[[#This Row],[Date]]-WEEKDAY(Runhours_Table[[#This Row],[Date]]-1)+4),1,1)-MOD((DATE(YEAR(Runhours_Table[[#This Row],[Date]]-WEEKDAY(Runhours_Table[[#This Row],[Date]]-1)+4),1,1)-2),7)+(7*IF(MOD((DATE(YEAR(Runhours_Table[[#This Row],[Date]]-WEEKDAY(Runhours_Table[[#This Row],[Date]]-1)+4),1,1)-2),7)&gt;3,1,0))+7)</f>
        <v>2025</v>
      </c>
      <c r="E443" s="167">
        <f>_xlfn.ISOWEEKNUM(Runhours_Table[[#This Row],[Date]])</f>
        <v>22</v>
      </c>
      <c r="F443" s="160" t="str">
        <f>RIGHT(YEAR(Runhours_Table[[#This Row],[Date]]),2)&amp;TEXT(_xlfn.ISOWEEKNUM(Runhours_Table[[#This Row],[Date]]),"00")</f>
        <v>2522</v>
      </c>
      <c r="G443" s="345">
        <v>14.546944</v>
      </c>
      <c r="H443" s="38">
        <v>20.25</v>
      </c>
      <c r="I443" s="38">
        <f ca="1">_xlfn.ISOWEEKNUM(Runhours_Table[[#This Row],[Date]])+52*(Runhours_Table[[#This Row],[Year]]-YEAR(DATE(YEAR(TODAY()-WEEKDAY(TODAY()-1)+4),1,1)-MOD((DATE(YEAR(TODAY()-WEEKDAY(TODAY()-1)+4),1,1)-2),7)+(7*IF(MOD((DATE(YEAR(TODAY()-WEEKDAY(TODAY()-1)+4),1,1)-2),7)&gt;3,1,0))+7) )-_xlfn.ISOWEEKNUM(NOW())</f>
        <v>-15</v>
      </c>
      <c r="J443" s="345"/>
    </row>
    <row r="444" spans="1:10">
      <c r="A444" s="6" t="s">
        <v>4</v>
      </c>
      <c r="B444" s="342" t="str">
        <f>VLOOKUP(A444,Fleet[],2,FALSE)</f>
        <v>Intel</v>
      </c>
      <c r="C444" s="343">
        <v>45806</v>
      </c>
      <c r="D444" s="346">
        <f>YEAR(DATE(YEAR(Runhours_Table[[#This Row],[Date]]-WEEKDAY(Runhours_Table[[#This Row],[Date]]-1)+4),1,1)-MOD((DATE(YEAR(Runhours_Table[[#This Row],[Date]]-WEEKDAY(Runhours_Table[[#This Row],[Date]]-1)+4),1,1)-2),7)+(7*IF(MOD((DATE(YEAR(Runhours_Table[[#This Row],[Date]]-WEEKDAY(Runhours_Table[[#This Row],[Date]]-1)+4),1,1)-2),7)&gt;3,1,0))+7)</f>
        <v>2025</v>
      </c>
      <c r="E444" s="167">
        <f>_xlfn.ISOWEEKNUM(Runhours_Table[[#This Row],[Date]])</f>
        <v>22</v>
      </c>
      <c r="F444" s="160" t="str">
        <f>RIGHT(YEAR(Runhours_Table[[#This Row],[Date]]),2)&amp;TEXT(_xlfn.ISOWEEKNUM(Runhours_Table[[#This Row],[Date]]),"00")</f>
        <v>2522</v>
      </c>
      <c r="G444" s="345">
        <v>16.539166999999999</v>
      </c>
      <c r="H444" s="38">
        <v>22.633333999999998</v>
      </c>
      <c r="I444" s="38">
        <f ca="1">_xlfn.ISOWEEKNUM(Runhours_Table[[#This Row],[Date]])+52*(Runhours_Table[[#This Row],[Year]]-YEAR(DATE(YEAR(TODAY()-WEEKDAY(TODAY()-1)+4),1,1)-MOD((DATE(YEAR(TODAY()-WEEKDAY(TODAY()-1)+4),1,1)-2),7)+(7*IF(MOD((DATE(YEAR(TODAY()-WEEKDAY(TODAY()-1)+4),1,1)-2),7)&gt;3,1,0))+7) )-_xlfn.ISOWEEKNUM(NOW())</f>
        <v>-15</v>
      </c>
      <c r="J444" s="345"/>
    </row>
    <row r="445" spans="1:10">
      <c r="A445" s="6" t="s">
        <v>7</v>
      </c>
      <c r="B445" s="342" t="str">
        <f>VLOOKUP(A445,Fleet[],2,FALSE)</f>
        <v>Intel</v>
      </c>
      <c r="C445" s="343">
        <v>45806</v>
      </c>
      <c r="D445" s="346">
        <f>YEAR(DATE(YEAR(Runhours_Table[[#This Row],[Date]]-WEEKDAY(Runhours_Table[[#This Row],[Date]]-1)+4),1,1)-MOD((DATE(YEAR(Runhours_Table[[#This Row],[Date]]-WEEKDAY(Runhours_Table[[#This Row],[Date]]-1)+4),1,1)-2),7)+(7*IF(MOD((DATE(YEAR(Runhours_Table[[#This Row],[Date]]-WEEKDAY(Runhours_Table[[#This Row],[Date]]-1)+4),1,1)-2),7)&gt;3,1,0))+7)</f>
        <v>2025</v>
      </c>
      <c r="E445" s="167">
        <f>_xlfn.ISOWEEKNUM(Runhours_Table[[#This Row],[Date]])</f>
        <v>22</v>
      </c>
      <c r="F445" s="160" t="str">
        <f>RIGHT(YEAR(Runhours_Table[[#This Row],[Date]]),2)&amp;TEXT(_xlfn.ISOWEEKNUM(Runhours_Table[[#This Row],[Date]]),"00")</f>
        <v>2522</v>
      </c>
      <c r="G445" s="345">
        <v>13.486110999999999</v>
      </c>
      <c r="H445" s="38">
        <v>19.633333</v>
      </c>
      <c r="I445" s="38">
        <f ca="1">_xlfn.ISOWEEKNUM(Runhours_Table[[#This Row],[Date]])+52*(Runhours_Table[[#This Row],[Year]]-YEAR(DATE(YEAR(TODAY()-WEEKDAY(TODAY()-1)+4),1,1)-MOD((DATE(YEAR(TODAY()-WEEKDAY(TODAY()-1)+4),1,1)-2),7)+(7*IF(MOD((DATE(YEAR(TODAY()-WEEKDAY(TODAY()-1)+4),1,1)-2),7)&gt;3,1,0))+7) )-_xlfn.ISOWEEKNUM(NOW())</f>
        <v>-15</v>
      </c>
      <c r="J445" s="345"/>
    </row>
    <row r="446" spans="1:10">
      <c r="A446" s="6" t="s">
        <v>4</v>
      </c>
      <c r="B446" s="342" t="str">
        <f>VLOOKUP(A446,Fleet[],2,FALSE)</f>
        <v>Intel</v>
      </c>
      <c r="C446" s="343">
        <v>45807</v>
      </c>
      <c r="D446" s="346">
        <f>YEAR(DATE(YEAR(Runhours_Table[[#This Row],[Date]]-WEEKDAY(Runhours_Table[[#This Row],[Date]]-1)+4),1,1)-MOD((DATE(YEAR(Runhours_Table[[#This Row],[Date]]-WEEKDAY(Runhours_Table[[#This Row],[Date]]-1)+4),1,1)-2),7)+(7*IF(MOD((DATE(YEAR(Runhours_Table[[#This Row],[Date]]-WEEKDAY(Runhours_Table[[#This Row],[Date]]-1)+4),1,1)-2),7)&gt;3,1,0))+7)</f>
        <v>2025</v>
      </c>
      <c r="E446" s="167">
        <f>_xlfn.ISOWEEKNUM(Runhours_Table[[#This Row],[Date]])</f>
        <v>22</v>
      </c>
      <c r="F446" s="160" t="str">
        <f>RIGHT(YEAR(Runhours_Table[[#This Row],[Date]]),2)&amp;TEXT(_xlfn.ISOWEEKNUM(Runhours_Table[[#This Row],[Date]]),"00")</f>
        <v>2522</v>
      </c>
      <c r="G446" s="345">
        <v>8.9986110000000004</v>
      </c>
      <c r="H446" s="38">
        <v>9.983333</v>
      </c>
      <c r="I446" s="38">
        <f ca="1">_xlfn.ISOWEEKNUM(Runhours_Table[[#This Row],[Date]])+52*(Runhours_Table[[#This Row],[Year]]-YEAR(DATE(YEAR(TODAY()-WEEKDAY(TODAY()-1)+4),1,1)-MOD((DATE(YEAR(TODAY()-WEEKDAY(TODAY()-1)+4),1,1)-2),7)+(7*IF(MOD((DATE(YEAR(TODAY()-WEEKDAY(TODAY()-1)+4),1,1)-2),7)&gt;3,1,0))+7) )-_xlfn.ISOWEEKNUM(NOW())</f>
        <v>-15</v>
      </c>
      <c r="J446" s="345"/>
    </row>
    <row r="447" spans="1:10">
      <c r="A447" s="6" t="s">
        <v>7</v>
      </c>
      <c r="B447" s="342" t="str">
        <f>VLOOKUP(A447,Fleet[],2,FALSE)</f>
        <v>Intel</v>
      </c>
      <c r="C447" s="343">
        <v>45807</v>
      </c>
      <c r="D447" s="346">
        <f>YEAR(DATE(YEAR(Runhours_Table[[#This Row],[Date]]-WEEKDAY(Runhours_Table[[#This Row],[Date]]-1)+4),1,1)-MOD((DATE(YEAR(Runhours_Table[[#This Row],[Date]]-WEEKDAY(Runhours_Table[[#This Row],[Date]]-1)+4),1,1)-2),7)+(7*IF(MOD((DATE(YEAR(Runhours_Table[[#This Row],[Date]]-WEEKDAY(Runhours_Table[[#This Row],[Date]]-1)+4),1,1)-2),7)&gt;3,1,0))+7)</f>
        <v>2025</v>
      </c>
      <c r="E447" s="167">
        <f>_xlfn.ISOWEEKNUM(Runhours_Table[[#This Row],[Date]])</f>
        <v>22</v>
      </c>
      <c r="F447" s="160" t="str">
        <f>RIGHT(YEAR(Runhours_Table[[#This Row],[Date]]),2)&amp;TEXT(_xlfn.ISOWEEKNUM(Runhours_Table[[#This Row],[Date]]),"00")</f>
        <v>2522</v>
      </c>
      <c r="G447" s="345">
        <v>10.973889</v>
      </c>
      <c r="H447" s="38">
        <v>21.716667000000001</v>
      </c>
      <c r="I447" s="38">
        <f ca="1">_xlfn.ISOWEEKNUM(Runhours_Table[[#This Row],[Date]])+52*(Runhours_Table[[#This Row],[Year]]-YEAR(DATE(YEAR(TODAY()-WEEKDAY(TODAY()-1)+4),1,1)-MOD((DATE(YEAR(TODAY()-WEEKDAY(TODAY()-1)+4),1,1)-2),7)+(7*IF(MOD((DATE(YEAR(TODAY()-WEEKDAY(TODAY()-1)+4),1,1)-2),7)&gt;3,1,0))+7) )-_xlfn.ISOWEEKNUM(NOW())</f>
        <v>-15</v>
      </c>
      <c r="J447" s="345"/>
    </row>
    <row r="448" spans="1:10">
      <c r="A448" s="6" t="s">
        <v>4</v>
      </c>
      <c r="B448" s="342" t="str">
        <f>VLOOKUP(A448,Fleet[],2,FALSE)</f>
        <v>Intel</v>
      </c>
      <c r="C448" s="343">
        <v>45808</v>
      </c>
      <c r="D448" s="346">
        <f>YEAR(DATE(YEAR(Runhours_Table[[#This Row],[Date]]-WEEKDAY(Runhours_Table[[#This Row],[Date]]-1)+4),1,1)-MOD((DATE(YEAR(Runhours_Table[[#This Row],[Date]]-WEEKDAY(Runhours_Table[[#This Row],[Date]]-1)+4),1,1)-2),7)+(7*IF(MOD((DATE(YEAR(Runhours_Table[[#This Row],[Date]]-WEEKDAY(Runhours_Table[[#This Row],[Date]]-1)+4),1,1)-2),7)&gt;3,1,0))+7)</f>
        <v>2025</v>
      </c>
      <c r="E448" s="167">
        <f>_xlfn.ISOWEEKNUM(Runhours_Table[[#This Row],[Date]])</f>
        <v>22</v>
      </c>
      <c r="F448" s="160" t="str">
        <f>RIGHT(YEAR(Runhours_Table[[#This Row],[Date]]),2)&amp;TEXT(_xlfn.ISOWEEKNUM(Runhours_Table[[#This Row],[Date]]),"00")</f>
        <v>2522</v>
      </c>
      <c r="G448" s="345"/>
      <c r="H448" s="38">
        <v>0</v>
      </c>
      <c r="I448" s="38">
        <f ca="1">_xlfn.ISOWEEKNUM(Runhours_Table[[#This Row],[Date]])+52*(Runhours_Table[[#This Row],[Year]]-YEAR(DATE(YEAR(TODAY()-WEEKDAY(TODAY()-1)+4),1,1)-MOD((DATE(YEAR(TODAY()-WEEKDAY(TODAY()-1)+4),1,1)-2),7)+(7*IF(MOD((DATE(YEAR(TODAY()-WEEKDAY(TODAY()-1)+4),1,1)-2),7)&gt;3,1,0))+7) )-_xlfn.ISOWEEKNUM(NOW())</f>
        <v>-15</v>
      </c>
      <c r="J448" s="345"/>
    </row>
    <row r="449" spans="1:10">
      <c r="A449" s="6" t="s">
        <v>7</v>
      </c>
      <c r="B449" s="342" t="str">
        <f>VLOOKUP(A449,Fleet[],2,FALSE)</f>
        <v>Intel</v>
      </c>
      <c r="C449" s="343">
        <v>45808</v>
      </c>
      <c r="D449" s="346">
        <f>YEAR(DATE(YEAR(Runhours_Table[[#This Row],[Date]]-WEEKDAY(Runhours_Table[[#This Row],[Date]]-1)+4),1,1)-MOD((DATE(YEAR(Runhours_Table[[#This Row],[Date]]-WEEKDAY(Runhours_Table[[#This Row],[Date]]-1)+4),1,1)-2),7)+(7*IF(MOD((DATE(YEAR(Runhours_Table[[#This Row],[Date]]-WEEKDAY(Runhours_Table[[#This Row],[Date]]-1)+4),1,1)-2),7)&gt;3,1,0))+7)</f>
        <v>2025</v>
      </c>
      <c r="E449" s="167">
        <f>_xlfn.ISOWEEKNUM(Runhours_Table[[#This Row],[Date]])</f>
        <v>22</v>
      </c>
      <c r="F449" s="160" t="str">
        <f>RIGHT(YEAR(Runhours_Table[[#This Row],[Date]]),2)&amp;TEXT(_xlfn.ISOWEEKNUM(Runhours_Table[[#This Row],[Date]]),"00")</f>
        <v>2522</v>
      </c>
      <c r="G449" s="345">
        <v>16.771667000000001</v>
      </c>
      <c r="H449" s="38">
        <v>22.516667000000002</v>
      </c>
      <c r="I449" s="38">
        <f ca="1">_xlfn.ISOWEEKNUM(Runhours_Table[[#This Row],[Date]])+52*(Runhours_Table[[#This Row],[Year]]-YEAR(DATE(YEAR(TODAY()-WEEKDAY(TODAY()-1)+4),1,1)-MOD((DATE(YEAR(TODAY()-WEEKDAY(TODAY()-1)+4),1,1)-2),7)+(7*IF(MOD((DATE(YEAR(TODAY()-WEEKDAY(TODAY()-1)+4),1,1)-2),7)&gt;3,1,0))+7) )-_xlfn.ISOWEEKNUM(NOW())</f>
        <v>-15</v>
      </c>
      <c r="J449" s="345"/>
    </row>
    <row r="450" spans="1:10">
      <c r="A450" s="6" t="s">
        <v>4</v>
      </c>
      <c r="B450" s="342" t="str">
        <f>VLOOKUP(A450,Fleet[],2,FALSE)</f>
        <v>Intel</v>
      </c>
      <c r="C450" s="343">
        <v>45809</v>
      </c>
      <c r="D450" s="346">
        <f>YEAR(DATE(YEAR(Runhours_Table[[#This Row],[Date]]-WEEKDAY(Runhours_Table[[#This Row],[Date]]-1)+4),1,1)-MOD((DATE(YEAR(Runhours_Table[[#This Row],[Date]]-WEEKDAY(Runhours_Table[[#This Row],[Date]]-1)+4),1,1)-2),7)+(7*IF(MOD((DATE(YEAR(Runhours_Table[[#This Row],[Date]]-WEEKDAY(Runhours_Table[[#This Row],[Date]]-1)+4),1,1)-2),7)&gt;3,1,0))+7)</f>
        <v>2025</v>
      </c>
      <c r="E450" s="167">
        <f>_xlfn.ISOWEEKNUM(Runhours_Table[[#This Row],[Date]])</f>
        <v>22</v>
      </c>
      <c r="F450" s="160" t="str">
        <f>RIGHT(YEAR(Runhours_Table[[#This Row],[Date]]),2)&amp;TEXT(_xlfn.ISOWEEKNUM(Runhours_Table[[#This Row],[Date]]),"00")</f>
        <v>2522</v>
      </c>
      <c r="G450" s="345">
        <v>17.636389000000001</v>
      </c>
      <c r="H450" s="38">
        <v>22.3</v>
      </c>
      <c r="I450" s="38">
        <f ca="1">_xlfn.ISOWEEKNUM(Runhours_Table[[#This Row],[Date]])+52*(Runhours_Table[[#This Row],[Year]]-YEAR(DATE(YEAR(TODAY()-WEEKDAY(TODAY()-1)+4),1,1)-MOD((DATE(YEAR(TODAY()-WEEKDAY(TODAY()-1)+4),1,1)-2),7)+(7*IF(MOD((DATE(YEAR(TODAY()-WEEKDAY(TODAY()-1)+4),1,1)-2),7)&gt;3,1,0))+7) )-_xlfn.ISOWEEKNUM(NOW())</f>
        <v>-15</v>
      </c>
      <c r="J450" s="345"/>
    </row>
    <row r="451" spans="1:10">
      <c r="A451" s="6" t="s">
        <v>7</v>
      </c>
      <c r="B451" s="342" t="str">
        <f>VLOOKUP(A451,Fleet[],2,FALSE)</f>
        <v>Intel</v>
      </c>
      <c r="C451" s="343">
        <v>45809</v>
      </c>
      <c r="D451" s="346">
        <f>YEAR(DATE(YEAR(Runhours_Table[[#This Row],[Date]]-WEEKDAY(Runhours_Table[[#This Row],[Date]]-1)+4),1,1)-MOD((DATE(YEAR(Runhours_Table[[#This Row],[Date]]-WEEKDAY(Runhours_Table[[#This Row],[Date]]-1)+4),1,1)-2),7)+(7*IF(MOD((DATE(YEAR(Runhours_Table[[#This Row],[Date]]-WEEKDAY(Runhours_Table[[#This Row],[Date]]-1)+4),1,1)-2),7)&gt;3,1,0))+7)</f>
        <v>2025</v>
      </c>
      <c r="E451" s="167">
        <f>_xlfn.ISOWEEKNUM(Runhours_Table[[#This Row],[Date]])</f>
        <v>22</v>
      </c>
      <c r="F451" s="160" t="str">
        <f>RIGHT(YEAR(Runhours_Table[[#This Row],[Date]]),2)&amp;TEXT(_xlfn.ISOWEEKNUM(Runhours_Table[[#This Row],[Date]]),"00")</f>
        <v>2522</v>
      </c>
      <c r="G451" s="345">
        <v>19.541667</v>
      </c>
      <c r="H451" s="38">
        <v>22.716667000000001</v>
      </c>
      <c r="I451" s="38">
        <f ca="1">_xlfn.ISOWEEKNUM(Runhours_Table[[#This Row],[Date]])+52*(Runhours_Table[[#This Row],[Year]]-YEAR(DATE(YEAR(TODAY()-WEEKDAY(TODAY()-1)+4),1,1)-MOD((DATE(YEAR(TODAY()-WEEKDAY(TODAY()-1)+4),1,1)-2),7)+(7*IF(MOD((DATE(YEAR(TODAY()-WEEKDAY(TODAY()-1)+4),1,1)-2),7)&gt;3,1,0))+7) )-_xlfn.ISOWEEKNUM(NOW())</f>
        <v>-15</v>
      </c>
      <c r="J451" s="345"/>
    </row>
    <row r="452" spans="1:10">
      <c r="A452" s="6" t="s">
        <v>4</v>
      </c>
      <c r="B452" s="342" t="str">
        <f>VLOOKUP(A452,Fleet[],2,FALSE)</f>
        <v>Intel</v>
      </c>
      <c r="C452" s="343">
        <v>45810</v>
      </c>
      <c r="D452" s="346">
        <f>YEAR(DATE(YEAR(Runhours_Table[[#This Row],[Date]]-WEEKDAY(Runhours_Table[[#This Row],[Date]]-1)+4),1,1)-MOD((DATE(YEAR(Runhours_Table[[#This Row],[Date]]-WEEKDAY(Runhours_Table[[#This Row],[Date]]-1)+4),1,1)-2),7)+(7*IF(MOD((DATE(YEAR(Runhours_Table[[#This Row],[Date]]-WEEKDAY(Runhours_Table[[#This Row],[Date]]-1)+4),1,1)-2),7)&gt;3,1,0))+7)</f>
        <v>2025</v>
      </c>
      <c r="E452" s="167">
        <f>_xlfn.ISOWEEKNUM(Runhours_Table[[#This Row],[Date]])</f>
        <v>23</v>
      </c>
      <c r="F452" s="160" t="str">
        <f>RIGHT(YEAR(Runhours_Table[[#This Row],[Date]]),2)&amp;TEXT(_xlfn.ISOWEEKNUM(Runhours_Table[[#This Row],[Date]]),"00")</f>
        <v>2523</v>
      </c>
      <c r="G452" s="345">
        <v>15.580556</v>
      </c>
      <c r="H452" s="38">
        <v>22.966667000000001</v>
      </c>
      <c r="I452" s="38">
        <f ca="1">_xlfn.ISOWEEKNUM(Runhours_Table[[#This Row],[Date]])+52*(Runhours_Table[[#This Row],[Year]]-YEAR(DATE(YEAR(TODAY()-WEEKDAY(TODAY()-1)+4),1,1)-MOD((DATE(YEAR(TODAY()-WEEKDAY(TODAY()-1)+4),1,1)-2),7)+(7*IF(MOD((DATE(YEAR(TODAY()-WEEKDAY(TODAY()-1)+4),1,1)-2),7)&gt;3,1,0))+7) )-_xlfn.ISOWEEKNUM(NOW())</f>
        <v>-14</v>
      </c>
      <c r="J452" s="345"/>
    </row>
    <row r="453" spans="1:10">
      <c r="A453" s="6" t="s">
        <v>7</v>
      </c>
      <c r="B453" s="342" t="str">
        <f>VLOOKUP(A453,Fleet[],2,FALSE)</f>
        <v>Intel</v>
      </c>
      <c r="C453" s="343">
        <v>45810</v>
      </c>
      <c r="D453" s="346">
        <f>YEAR(DATE(YEAR(Runhours_Table[[#This Row],[Date]]-WEEKDAY(Runhours_Table[[#This Row],[Date]]-1)+4),1,1)-MOD((DATE(YEAR(Runhours_Table[[#This Row],[Date]]-WEEKDAY(Runhours_Table[[#This Row],[Date]]-1)+4),1,1)-2),7)+(7*IF(MOD((DATE(YEAR(Runhours_Table[[#This Row],[Date]]-WEEKDAY(Runhours_Table[[#This Row],[Date]]-1)+4),1,1)-2),7)&gt;3,1,0))+7)</f>
        <v>2025</v>
      </c>
      <c r="E453" s="167">
        <f>_xlfn.ISOWEEKNUM(Runhours_Table[[#This Row],[Date]])</f>
        <v>23</v>
      </c>
      <c r="F453" s="160" t="str">
        <f>RIGHT(YEAR(Runhours_Table[[#This Row],[Date]]),2)&amp;TEXT(_xlfn.ISOWEEKNUM(Runhours_Table[[#This Row],[Date]]),"00")</f>
        <v>2523</v>
      </c>
      <c r="G453" s="345">
        <v>12.685556</v>
      </c>
      <c r="H453" s="38">
        <v>17.649999999999999</v>
      </c>
      <c r="I453" s="38">
        <f ca="1">_xlfn.ISOWEEKNUM(Runhours_Table[[#This Row],[Date]])+52*(Runhours_Table[[#This Row],[Year]]-YEAR(DATE(YEAR(TODAY()-WEEKDAY(TODAY()-1)+4),1,1)-MOD((DATE(YEAR(TODAY()-WEEKDAY(TODAY()-1)+4),1,1)-2),7)+(7*IF(MOD((DATE(YEAR(TODAY()-WEEKDAY(TODAY()-1)+4),1,1)-2),7)&gt;3,1,0))+7) )-_xlfn.ISOWEEKNUM(NOW())</f>
        <v>-14</v>
      </c>
      <c r="J453" s="345"/>
    </row>
    <row r="454" spans="1:10">
      <c r="A454" s="6" t="s">
        <v>4</v>
      </c>
      <c r="B454" s="342" t="str">
        <f>VLOOKUP(A454,Fleet[],2,FALSE)</f>
        <v>Intel</v>
      </c>
      <c r="C454" s="343">
        <v>45811</v>
      </c>
      <c r="D454" s="346">
        <f>YEAR(DATE(YEAR(Runhours_Table[[#This Row],[Date]]-WEEKDAY(Runhours_Table[[#This Row],[Date]]-1)+4),1,1)-MOD((DATE(YEAR(Runhours_Table[[#This Row],[Date]]-WEEKDAY(Runhours_Table[[#This Row],[Date]]-1)+4),1,1)-2),7)+(7*IF(MOD((DATE(YEAR(Runhours_Table[[#This Row],[Date]]-WEEKDAY(Runhours_Table[[#This Row],[Date]]-1)+4),1,1)-2),7)&gt;3,1,0))+7)</f>
        <v>2025</v>
      </c>
      <c r="E454" s="167">
        <f>_xlfn.ISOWEEKNUM(Runhours_Table[[#This Row],[Date]])</f>
        <v>23</v>
      </c>
      <c r="F454" s="160" t="str">
        <f>RIGHT(YEAR(Runhours_Table[[#This Row],[Date]]),2)&amp;TEXT(_xlfn.ISOWEEKNUM(Runhours_Table[[#This Row],[Date]]),"00")</f>
        <v>2523</v>
      </c>
      <c r="G454" s="345">
        <v>17.210277999999999</v>
      </c>
      <c r="H454" s="38">
        <v>21.216667000000001</v>
      </c>
      <c r="I454" s="38">
        <f ca="1">_xlfn.ISOWEEKNUM(Runhours_Table[[#This Row],[Date]])+52*(Runhours_Table[[#This Row],[Year]]-YEAR(DATE(YEAR(TODAY()-WEEKDAY(TODAY()-1)+4),1,1)-MOD((DATE(YEAR(TODAY()-WEEKDAY(TODAY()-1)+4),1,1)-2),7)+(7*IF(MOD((DATE(YEAR(TODAY()-WEEKDAY(TODAY()-1)+4),1,1)-2),7)&gt;3,1,0))+7) )-_xlfn.ISOWEEKNUM(NOW())</f>
        <v>-14</v>
      </c>
      <c r="J454" s="345"/>
    </row>
    <row r="455" spans="1:10">
      <c r="A455" s="6" t="s">
        <v>7</v>
      </c>
      <c r="B455" s="342" t="str">
        <f>VLOOKUP(A455,Fleet[],2,FALSE)</f>
        <v>Intel</v>
      </c>
      <c r="C455" s="343">
        <v>45811</v>
      </c>
      <c r="D455" s="346">
        <f>YEAR(DATE(YEAR(Runhours_Table[[#This Row],[Date]]-WEEKDAY(Runhours_Table[[#This Row],[Date]]-1)+4),1,1)-MOD((DATE(YEAR(Runhours_Table[[#This Row],[Date]]-WEEKDAY(Runhours_Table[[#This Row],[Date]]-1)+4),1,1)-2),7)+(7*IF(MOD((DATE(YEAR(Runhours_Table[[#This Row],[Date]]-WEEKDAY(Runhours_Table[[#This Row],[Date]]-1)+4),1,1)-2),7)&gt;3,1,0))+7)</f>
        <v>2025</v>
      </c>
      <c r="E455" s="167">
        <f>_xlfn.ISOWEEKNUM(Runhours_Table[[#This Row],[Date]])</f>
        <v>23</v>
      </c>
      <c r="F455" s="160" t="str">
        <f>RIGHT(YEAR(Runhours_Table[[#This Row],[Date]]),2)&amp;TEXT(_xlfn.ISOWEEKNUM(Runhours_Table[[#This Row],[Date]]),"00")</f>
        <v>2523</v>
      </c>
      <c r="G455" s="345">
        <v>1.8105560000000001</v>
      </c>
      <c r="H455" s="38">
        <v>7.0833339999999998</v>
      </c>
      <c r="I455" s="38">
        <f ca="1">_xlfn.ISOWEEKNUM(Runhours_Table[[#This Row],[Date]])+52*(Runhours_Table[[#This Row],[Year]]-YEAR(DATE(YEAR(TODAY()-WEEKDAY(TODAY()-1)+4),1,1)-MOD((DATE(YEAR(TODAY()-WEEKDAY(TODAY()-1)+4),1,1)-2),7)+(7*IF(MOD((DATE(YEAR(TODAY()-WEEKDAY(TODAY()-1)+4),1,1)-2),7)&gt;3,1,0))+7) )-_xlfn.ISOWEEKNUM(NOW())</f>
        <v>-14</v>
      </c>
      <c r="J455" s="345"/>
    </row>
    <row r="456" spans="1:10">
      <c r="A456" s="6" t="s">
        <v>4</v>
      </c>
      <c r="B456" s="342" t="str">
        <f>VLOOKUP(A456,Fleet[],2,FALSE)</f>
        <v>Intel</v>
      </c>
      <c r="C456" s="343">
        <v>45812</v>
      </c>
      <c r="D456" s="346">
        <f>YEAR(DATE(YEAR(Runhours_Table[[#This Row],[Date]]-WEEKDAY(Runhours_Table[[#This Row],[Date]]-1)+4),1,1)-MOD((DATE(YEAR(Runhours_Table[[#This Row],[Date]]-WEEKDAY(Runhours_Table[[#This Row],[Date]]-1)+4),1,1)-2),7)+(7*IF(MOD((DATE(YEAR(Runhours_Table[[#This Row],[Date]]-WEEKDAY(Runhours_Table[[#This Row],[Date]]-1)+4),1,1)-2),7)&gt;3,1,0))+7)</f>
        <v>2025</v>
      </c>
      <c r="E456" s="167">
        <f>_xlfn.ISOWEEKNUM(Runhours_Table[[#This Row],[Date]])</f>
        <v>23</v>
      </c>
      <c r="F456" s="160" t="str">
        <f>RIGHT(YEAR(Runhours_Table[[#This Row],[Date]]),2)&amp;TEXT(_xlfn.ISOWEEKNUM(Runhours_Table[[#This Row],[Date]]),"00")</f>
        <v>2523</v>
      </c>
      <c r="G456" s="345">
        <v>11.116944</v>
      </c>
      <c r="H456" s="38">
        <v>18.233333000000002</v>
      </c>
      <c r="I456" s="38">
        <f ca="1">_xlfn.ISOWEEKNUM(Runhours_Table[[#This Row],[Date]])+52*(Runhours_Table[[#This Row],[Year]]-YEAR(DATE(YEAR(TODAY()-WEEKDAY(TODAY()-1)+4),1,1)-MOD((DATE(YEAR(TODAY()-WEEKDAY(TODAY()-1)+4),1,1)-2),7)+(7*IF(MOD((DATE(YEAR(TODAY()-WEEKDAY(TODAY()-1)+4),1,1)-2),7)&gt;3,1,0))+7) )-_xlfn.ISOWEEKNUM(NOW())</f>
        <v>-14</v>
      </c>
      <c r="J456" s="345"/>
    </row>
    <row r="457" spans="1:10">
      <c r="A457" s="6" t="s">
        <v>7</v>
      </c>
      <c r="B457" s="342" t="str">
        <f>VLOOKUP(A457,Fleet[],2,FALSE)</f>
        <v>Intel</v>
      </c>
      <c r="C457" s="343">
        <v>45812</v>
      </c>
      <c r="D457" s="346">
        <f>YEAR(DATE(YEAR(Runhours_Table[[#This Row],[Date]]-WEEKDAY(Runhours_Table[[#This Row],[Date]]-1)+4),1,1)-MOD((DATE(YEAR(Runhours_Table[[#This Row],[Date]]-WEEKDAY(Runhours_Table[[#This Row],[Date]]-1)+4),1,1)-2),7)+(7*IF(MOD((DATE(YEAR(Runhours_Table[[#This Row],[Date]]-WEEKDAY(Runhours_Table[[#This Row],[Date]]-1)+4),1,1)-2),7)&gt;3,1,0))+7)</f>
        <v>2025</v>
      </c>
      <c r="E457" s="167">
        <f>_xlfn.ISOWEEKNUM(Runhours_Table[[#This Row],[Date]])</f>
        <v>23</v>
      </c>
      <c r="F457" s="160" t="str">
        <f>RIGHT(YEAR(Runhours_Table[[#This Row],[Date]]),2)&amp;TEXT(_xlfn.ISOWEEKNUM(Runhours_Table[[#This Row],[Date]]),"00")</f>
        <v>2523</v>
      </c>
      <c r="G457" s="345">
        <v>18.127777999999999</v>
      </c>
      <c r="H457" s="38">
        <v>22.616667</v>
      </c>
      <c r="I457" s="38">
        <f ca="1">_xlfn.ISOWEEKNUM(Runhours_Table[[#This Row],[Date]])+52*(Runhours_Table[[#This Row],[Year]]-YEAR(DATE(YEAR(TODAY()-WEEKDAY(TODAY()-1)+4),1,1)-MOD((DATE(YEAR(TODAY()-WEEKDAY(TODAY()-1)+4),1,1)-2),7)+(7*IF(MOD((DATE(YEAR(TODAY()-WEEKDAY(TODAY()-1)+4),1,1)-2),7)&gt;3,1,0))+7) )-_xlfn.ISOWEEKNUM(NOW())</f>
        <v>-14</v>
      </c>
      <c r="J457" s="345"/>
    </row>
    <row r="458" spans="1:10">
      <c r="A458" s="6" t="s">
        <v>4</v>
      </c>
      <c r="B458" s="342" t="str">
        <f>VLOOKUP(A458,Fleet[],2,FALSE)</f>
        <v>Intel</v>
      </c>
      <c r="C458" s="343">
        <v>45813</v>
      </c>
      <c r="D458" s="346">
        <f>YEAR(DATE(YEAR(Runhours_Table[[#This Row],[Date]]-WEEKDAY(Runhours_Table[[#This Row],[Date]]-1)+4),1,1)-MOD((DATE(YEAR(Runhours_Table[[#This Row],[Date]]-WEEKDAY(Runhours_Table[[#This Row],[Date]]-1)+4),1,1)-2),7)+(7*IF(MOD((DATE(YEAR(Runhours_Table[[#This Row],[Date]]-WEEKDAY(Runhours_Table[[#This Row],[Date]]-1)+4),1,1)-2),7)&gt;3,1,0))+7)</f>
        <v>2025</v>
      </c>
      <c r="E458" s="167">
        <f>_xlfn.ISOWEEKNUM(Runhours_Table[[#This Row],[Date]])</f>
        <v>23</v>
      </c>
      <c r="F458" s="160" t="str">
        <f>RIGHT(YEAR(Runhours_Table[[#This Row],[Date]]),2)&amp;TEXT(_xlfn.ISOWEEKNUM(Runhours_Table[[#This Row],[Date]]),"00")</f>
        <v>2523</v>
      </c>
      <c r="G458" s="345">
        <v>7.0191670000000004</v>
      </c>
      <c r="H458" s="38">
        <v>11.25</v>
      </c>
      <c r="I458" s="38">
        <f ca="1">_xlfn.ISOWEEKNUM(Runhours_Table[[#This Row],[Date]])+52*(Runhours_Table[[#This Row],[Year]]-YEAR(DATE(YEAR(TODAY()-WEEKDAY(TODAY()-1)+4),1,1)-MOD((DATE(YEAR(TODAY()-WEEKDAY(TODAY()-1)+4),1,1)-2),7)+(7*IF(MOD((DATE(YEAR(TODAY()-WEEKDAY(TODAY()-1)+4),1,1)-2),7)&gt;3,1,0))+7) )-_xlfn.ISOWEEKNUM(NOW())</f>
        <v>-14</v>
      </c>
      <c r="J458" s="345"/>
    </row>
    <row r="459" spans="1:10">
      <c r="A459" s="6" t="s">
        <v>7</v>
      </c>
      <c r="B459" s="342" t="str">
        <f>VLOOKUP(A459,Fleet[],2,FALSE)</f>
        <v>Intel</v>
      </c>
      <c r="C459" s="343">
        <v>45813</v>
      </c>
      <c r="D459" s="346">
        <f>YEAR(DATE(YEAR(Runhours_Table[[#This Row],[Date]]-WEEKDAY(Runhours_Table[[#This Row],[Date]]-1)+4),1,1)-MOD((DATE(YEAR(Runhours_Table[[#This Row],[Date]]-WEEKDAY(Runhours_Table[[#This Row],[Date]]-1)+4),1,1)-2),7)+(7*IF(MOD((DATE(YEAR(Runhours_Table[[#This Row],[Date]]-WEEKDAY(Runhours_Table[[#This Row],[Date]]-1)+4),1,1)-2),7)&gt;3,1,0))+7)</f>
        <v>2025</v>
      </c>
      <c r="E459" s="167">
        <f>_xlfn.ISOWEEKNUM(Runhours_Table[[#This Row],[Date]])</f>
        <v>23</v>
      </c>
      <c r="F459" s="160" t="str">
        <f>RIGHT(YEAR(Runhours_Table[[#This Row],[Date]]),2)&amp;TEXT(_xlfn.ISOWEEKNUM(Runhours_Table[[#This Row],[Date]]),"00")</f>
        <v>2523</v>
      </c>
      <c r="G459" s="345">
        <v>11.290556</v>
      </c>
      <c r="H459" s="38">
        <v>18.5</v>
      </c>
      <c r="I459" s="38">
        <f ca="1">_xlfn.ISOWEEKNUM(Runhours_Table[[#This Row],[Date]])+52*(Runhours_Table[[#This Row],[Year]]-YEAR(DATE(YEAR(TODAY()-WEEKDAY(TODAY()-1)+4),1,1)-MOD((DATE(YEAR(TODAY()-WEEKDAY(TODAY()-1)+4),1,1)-2),7)+(7*IF(MOD((DATE(YEAR(TODAY()-WEEKDAY(TODAY()-1)+4),1,1)-2),7)&gt;3,1,0))+7) )-_xlfn.ISOWEEKNUM(NOW())</f>
        <v>-14</v>
      </c>
      <c r="J459" s="345"/>
    </row>
    <row r="460" spans="1:10">
      <c r="A460" s="6" t="s">
        <v>4</v>
      </c>
      <c r="B460" s="342" t="str">
        <f>VLOOKUP(A460,Fleet[],2,FALSE)</f>
        <v>Intel</v>
      </c>
      <c r="C460" s="343">
        <v>45814</v>
      </c>
      <c r="D460" s="346">
        <f>YEAR(DATE(YEAR(Runhours_Table[[#This Row],[Date]]-WEEKDAY(Runhours_Table[[#This Row],[Date]]-1)+4),1,1)-MOD((DATE(YEAR(Runhours_Table[[#This Row],[Date]]-WEEKDAY(Runhours_Table[[#This Row],[Date]]-1)+4),1,1)-2),7)+(7*IF(MOD((DATE(YEAR(Runhours_Table[[#This Row],[Date]]-WEEKDAY(Runhours_Table[[#This Row],[Date]]-1)+4),1,1)-2),7)&gt;3,1,0))+7)</f>
        <v>2025</v>
      </c>
      <c r="E460" s="167">
        <f>_xlfn.ISOWEEKNUM(Runhours_Table[[#This Row],[Date]])</f>
        <v>23</v>
      </c>
      <c r="F460" s="160" t="str">
        <f>RIGHT(YEAR(Runhours_Table[[#This Row],[Date]]),2)&amp;TEXT(_xlfn.ISOWEEKNUM(Runhours_Table[[#This Row],[Date]]),"00")</f>
        <v>2523</v>
      </c>
      <c r="G460" s="345">
        <v>14.562778</v>
      </c>
      <c r="H460" s="38">
        <v>22.9</v>
      </c>
      <c r="I460" s="38">
        <f ca="1">_xlfn.ISOWEEKNUM(Runhours_Table[[#This Row],[Date]])+52*(Runhours_Table[[#This Row],[Year]]-YEAR(DATE(YEAR(TODAY()-WEEKDAY(TODAY()-1)+4),1,1)-MOD((DATE(YEAR(TODAY()-WEEKDAY(TODAY()-1)+4),1,1)-2),7)+(7*IF(MOD((DATE(YEAR(TODAY()-WEEKDAY(TODAY()-1)+4),1,1)-2),7)&gt;3,1,0))+7) )-_xlfn.ISOWEEKNUM(NOW())</f>
        <v>-14</v>
      </c>
      <c r="J460" s="345"/>
    </row>
    <row r="461" spans="1:10">
      <c r="A461" s="6" t="s">
        <v>7</v>
      </c>
      <c r="B461" s="342" t="str">
        <f>VLOOKUP(A461,Fleet[],2,FALSE)</f>
        <v>Intel</v>
      </c>
      <c r="C461" s="343">
        <v>45814</v>
      </c>
      <c r="D461" s="346">
        <f>YEAR(DATE(YEAR(Runhours_Table[[#This Row],[Date]]-WEEKDAY(Runhours_Table[[#This Row],[Date]]-1)+4),1,1)-MOD((DATE(YEAR(Runhours_Table[[#This Row],[Date]]-WEEKDAY(Runhours_Table[[#This Row],[Date]]-1)+4),1,1)-2),7)+(7*IF(MOD((DATE(YEAR(Runhours_Table[[#This Row],[Date]]-WEEKDAY(Runhours_Table[[#This Row],[Date]]-1)+4),1,1)-2),7)&gt;3,1,0))+7)</f>
        <v>2025</v>
      </c>
      <c r="E461" s="167">
        <f>_xlfn.ISOWEEKNUM(Runhours_Table[[#This Row],[Date]])</f>
        <v>23</v>
      </c>
      <c r="F461" s="160" t="str">
        <f>RIGHT(YEAR(Runhours_Table[[#This Row],[Date]]),2)&amp;TEXT(_xlfn.ISOWEEKNUM(Runhours_Table[[#This Row],[Date]]),"00")</f>
        <v>2523</v>
      </c>
      <c r="G461" s="345">
        <v>11.261666999999999</v>
      </c>
      <c r="H461" s="38">
        <v>21.333334000000001</v>
      </c>
      <c r="I461" s="38">
        <f ca="1">_xlfn.ISOWEEKNUM(Runhours_Table[[#This Row],[Date]])+52*(Runhours_Table[[#This Row],[Year]]-YEAR(DATE(YEAR(TODAY()-WEEKDAY(TODAY()-1)+4),1,1)-MOD((DATE(YEAR(TODAY()-WEEKDAY(TODAY()-1)+4),1,1)-2),7)+(7*IF(MOD((DATE(YEAR(TODAY()-WEEKDAY(TODAY()-1)+4),1,1)-2),7)&gt;3,1,0))+7) )-_xlfn.ISOWEEKNUM(NOW())</f>
        <v>-14</v>
      </c>
      <c r="J461" s="345"/>
    </row>
    <row r="462" spans="1:10">
      <c r="A462" s="6" t="s">
        <v>4</v>
      </c>
      <c r="B462" s="342" t="str">
        <f>VLOOKUP(A462,Fleet[],2,FALSE)</f>
        <v>Intel</v>
      </c>
      <c r="C462" s="343">
        <v>45815</v>
      </c>
      <c r="D462" s="346">
        <f>YEAR(DATE(YEAR(Runhours_Table[[#This Row],[Date]]-WEEKDAY(Runhours_Table[[#This Row],[Date]]-1)+4),1,1)-MOD((DATE(YEAR(Runhours_Table[[#This Row],[Date]]-WEEKDAY(Runhours_Table[[#This Row],[Date]]-1)+4),1,1)-2),7)+(7*IF(MOD((DATE(YEAR(Runhours_Table[[#This Row],[Date]]-WEEKDAY(Runhours_Table[[#This Row],[Date]]-1)+4),1,1)-2),7)&gt;3,1,0))+7)</f>
        <v>2025</v>
      </c>
      <c r="E462" s="167">
        <f>_xlfn.ISOWEEKNUM(Runhours_Table[[#This Row],[Date]])</f>
        <v>23</v>
      </c>
      <c r="F462" s="160" t="str">
        <f>RIGHT(YEAR(Runhours_Table[[#This Row],[Date]]),2)&amp;TEXT(_xlfn.ISOWEEKNUM(Runhours_Table[[#This Row],[Date]]),"00")</f>
        <v>2523</v>
      </c>
      <c r="G462" s="345">
        <v>14.913055999999999</v>
      </c>
      <c r="H462" s="38">
        <v>18.016666999999998</v>
      </c>
      <c r="I462" s="38">
        <f ca="1">_xlfn.ISOWEEKNUM(Runhours_Table[[#This Row],[Date]])+52*(Runhours_Table[[#This Row],[Year]]-YEAR(DATE(YEAR(TODAY()-WEEKDAY(TODAY()-1)+4),1,1)-MOD((DATE(YEAR(TODAY()-WEEKDAY(TODAY()-1)+4),1,1)-2),7)+(7*IF(MOD((DATE(YEAR(TODAY()-WEEKDAY(TODAY()-1)+4),1,1)-2),7)&gt;3,1,0))+7) )-_xlfn.ISOWEEKNUM(NOW())</f>
        <v>-14</v>
      </c>
      <c r="J462" s="345"/>
    </row>
    <row r="463" spans="1:10">
      <c r="A463" s="6" t="s">
        <v>7</v>
      </c>
      <c r="B463" s="342" t="str">
        <f>VLOOKUP(A463,Fleet[],2,FALSE)</f>
        <v>Intel</v>
      </c>
      <c r="C463" s="343">
        <v>45815</v>
      </c>
      <c r="D463" s="346">
        <f>YEAR(DATE(YEAR(Runhours_Table[[#This Row],[Date]]-WEEKDAY(Runhours_Table[[#This Row],[Date]]-1)+4),1,1)-MOD((DATE(YEAR(Runhours_Table[[#This Row],[Date]]-WEEKDAY(Runhours_Table[[#This Row],[Date]]-1)+4),1,1)-2),7)+(7*IF(MOD((DATE(YEAR(Runhours_Table[[#This Row],[Date]]-WEEKDAY(Runhours_Table[[#This Row],[Date]]-1)+4),1,1)-2),7)&gt;3,1,0))+7)</f>
        <v>2025</v>
      </c>
      <c r="E463" s="167">
        <f>_xlfn.ISOWEEKNUM(Runhours_Table[[#This Row],[Date]])</f>
        <v>23</v>
      </c>
      <c r="F463" s="160" t="str">
        <f>RIGHT(YEAR(Runhours_Table[[#This Row],[Date]]),2)&amp;TEXT(_xlfn.ISOWEEKNUM(Runhours_Table[[#This Row],[Date]]),"00")</f>
        <v>2523</v>
      </c>
      <c r="G463" s="345">
        <v>21.026944</v>
      </c>
      <c r="H463" s="38">
        <v>22.733333000000002</v>
      </c>
      <c r="I463" s="38">
        <f ca="1">_xlfn.ISOWEEKNUM(Runhours_Table[[#This Row],[Date]])+52*(Runhours_Table[[#This Row],[Year]]-YEAR(DATE(YEAR(TODAY()-WEEKDAY(TODAY()-1)+4),1,1)-MOD((DATE(YEAR(TODAY()-WEEKDAY(TODAY()-1)+4),1,1)-2),7)+(7*IF(MOD((DATE(YEAR(TODAY()-WEEKDAY(TODAY()-1)+4),1,1)-2),7)&gt;3,1,0))+7) )-_xlfn.ISOWEEKNUM(NOW())</f>
        <v>-14</v>
      </c>
      <c r="J463" s="345"/>
    </row>
    <row r="464" spans="1:10">
      <c r="A464" s="6" t="s">
        <v>4</v>
      </c>
      <c r="B464" s="342" t="str">
        <f>VLOOKUP(A464,Fleet[],2,FALSE)</f>
        <v>Intel</v>
      </c>
      <c r="C464" s="343">
        <v>45816</v>
      </c>
      <c r="D464" s="346">
        <f>YEAR(DATE(YEAR(Runhours_Table[[#This Row],[Date]]-WEEKDAY(Runhours_Table[[#This Row],[Date]]-1)+4),1,1)-MOD((DATE(YEAR(Runhours_Table[[#This Row],[Date]]-WEEKDAY(Runhours_Table[[#This Row],[Date]]-1)+4),1,1)-2),7)+(7*IF(MOD((DATE(YEAR(Runhours_Table[[#This Row],[Date]]-WEEKDAY(Runhours_Table[[#This Row],[Date]]-1)+4),1,1)-2),7)&gt;3,1,0))+7)</f>
        <v>2025</v>
      </c>
      <c r="E464" s="167">
        <f>_xlfn.ISOWEEKNUM(Runhours_Table[[#This Row],[Date]])</f>
        <v>23</v>
      </c>
      <c r="F464" s="160" t="str">
        <f>RIGHT(YEAR(Runhours_Table[[#This Row],[Date]]),2)&amp;TEXT(_xlfn.ISOWEEKNUM(Runhours_Table[[#This Row],[Date]]),"00")</f>
        <v>2523</v>
      </c>
      <c r="G464" s="345">
        <v>11.298610999999999</v>
      </c>
      <c r="H464" s="38">
        <v>20.85</v>
      </c>
      <c r="I464" s="38">
        <f ca="1">_xlfn.ISOWEEKNUM(Runhours_Table[[#This Row],[Date]])+52*(Runhours_Table[[#This Row],[Year]]-YEAR(DATE(YEAR(TODAY()-WEEKDAY(TODAY()-1)+4),1,1)-MOD((DATE(YEAR(TODAY()-WEEKDAY(TODAY()-1)+4),1,1)-2),7)+(7*IF(MOD((DATE(YEAR(TODAY()-WEEKDAY(TODAY()-1)+4),1,1)-2),7)&gt;3,1,0))+7) )-_xlfn.ISOWEEKNUM(NOW())</f>
        <v>-14</v>
      </c>
      <c r="J464" s="345"/>
    </row>
    <row r="465" spans="1:10">
      <c r="A465" s="6" t="s">
        <v>7</v>
      </c>
      <c r="B465" s="342" t="str">
        <f>VLOOKUP(A465,Fleet[],2,FALSE)</f>
        <v>Intel</v>
      </c>
      <c r="C465" s="343">
        <v>45816</v>
      </c>
      <c r="D465" s="346">
        <f>YEAR(DATE(YEAR(Runhours_Table[[#This Row],[Date]]-WEEKDAY(Runhours_Table[[#This Row],[Date]]-1)+4),1,1)-MOD((DATE(YEAR(Runhours_Table[[#This Row],[Date]]-WEEKDAY(Runhours_Table[[#This Row],[Date]]-1)+4),1,1)-2),7)+(7*IF(MOD((DATE(YEAR(Runhours_Table[[#This Row],[Date]]-WEEKDAY(Runhours_Table[[#This Row],[Date]]-1)+4),1,1)-2),7)&gt;3,1,0))+7)</f>
        <v>2025</v>
      </c>
      <c r="E465" s="167">
        <f>_xlfn.ISOWEEKNUM(Runhours_Table[[#This Row],[Date]])</f>
        <v>23</v>
      </c>
      <c r="F465" s="160" t="str">
        <f>RIGHT(YEAR(Runhours_Table[[#This Row],[Date]]),2)&amp;TEXT(_xlfn.ISOWEEKNUM(Runhours_Table[[#This Row],[Date]]),"00")</f>
        <v>2523</v>
      </c>
      <c r="G465" s="345">
        <v>18.215278000000001</v>
      </c>
      <c r="H465" s="38">
        <v>22.583334000000001</v>
      </c>
      <c r="I465" s="38">
        <f ca="1">_xlfn.ISOWEEKNUM(Runhours_Table[[#This Row],[Date]])+52*(Runhours_Table[[#This Row],[Year]]-YEAR(DATE(YEAR(TODAY()-WEEKDAY(TODAY()-1)+4),1,1)-MOD((DATE(YEAR(TODAY()-WEEKDAY(TODAY()-1)+4),1,1)-2),7)+(7*IF(MOD((DATE(YEAR(TODAY()-WEEKDAY(TODAY()-1)+4),1,1)-2),7)&gt;3,1,0))+7) )-_xlfn.ISOWEEKNUM(NOW())</f>
        <v>-14</v>
      </c>
      <c r="J465" s="345"/>
    </row>
    <row r="466" spans="1:10">
      <c r="A466" s="6" t="s">
        <v>4</v>
      </c>
      <c r="B466" s="342" t="str">
        <f>VLOOKUP(A466,Fleet[],2,FALSE)</f>
        <v>Intel</v>
      </c>
      <c r="C466" s="343">
        <v>45817</v>
      </c>
      <c r="D466" s="346">
        <f>YEAR(DATE(YEAR(Runhours_Table[[#This Row],[Date]]-WEEKDAY(Runhours_Table[[#This Row],[Date]]-1)+4),1,1)-MOD((DATE(YEAR(Runhours_Table[[#This Row],[Date]]-WEEKDAY(Runhours_Table[[#This Row],[Date]]-1)+4),1,1)-2),7)+(7*IF(MOD((DATE(YEAR(Runhours_Table[[#This Row],[Date]]-WEEKDAY(Runhours_Table[[#This Row],[Date]]-1)+4),1,1)-2),7)&gt;3,1,0))+7)</f>
        <v>2025</v>
      </c>
      <c r="E466" s="167">
        <f>_xlfn.ISOWEEKNUM(Runhours_Table[[#This Row],[Date]])</f>
        <v>24</v>
      </c>
      <c r="F466" s="160" t="str">
        <f>RIGHT(YEAR(Runhours_Table[[#This Row],[Date]]),2)&amp;TEXT(_xlfn.ISOWEEKNUM(Runhours_Table[[#This Row],[Date]]),"00")</f>
        <v>2524</v>
      </c>
      <c r="G466" s="345">
        <v>17.441943999999999</v>
      </c>
      <c r="H466" s="38">
        <v>23.104165999999999</v>
      </c>
      <c r="I466" s="38">
        <f ca="1">_xlfn.ISOWEEKNUM(Runhours_Table[[#This Row],[Date]])+52*(Runhours_Table[[#This Row],[Year]]-YEAR(DATE(YEAR(TODAY()-WEEKDAY(TODAY()-1)+4),1,1)-MOD((DATE(YEAR(TODAY()-WEEKDAY(TODAY()-1)+4),1,1)-2),7)+(7*IF(MOD((DATE(YEAR(TODAY()-WEEKDAY(TODAY()-1)+4),1,1)-2),7)&gt;3,1,0))+7) )-_xlfn.ISOWEEKNUM(NOW())</f>
        <v>-13</v>
      </c>
      <c r="J466" s="345"/>
    </row>
    <row r="467" spans="1:10">
      <c r="A467" s="6" t="s">
        <v>7</v>
      </c>
      <c r="B467" s="342" t="str">
        <f>VLOOKUP(A467,Fleet[],2,FALSE)</f>
        <v>Intel</v>
      </c>
      <c r="C467" s="343">
        <v>45817</v>
      </c>
      <c r="D467" s="346">
        <f>YEAR(DATE(YEAR(Runhours_Table[[#This Row],[Date]]-WEEKDAY(Runhours_Table[[#This Row],[Date]]-1)+4),1,1)-MOD((DATE(YEAR(Runhours_Table[[#This Row],[Date]]-WEEKDAY(Runhours_Table[[#This Row],[Date]]-1)+4),1,1)-2),7)+(7*IF(MOD((DATE(YEAR(Runhours_Table[[#This Row],[Date]]-WEEKDAY(Runhours_Table[[#This Row],[Date]]-1)+4),1,1)-2),7)&gt;3,1,0))+7)</f>
        <v>2025</v>
      </c>
      <c r="E467" s="167">
        <f>_xlfn.ISOWEEKNUM(Runhours_Table[[#This Row],[Date]])</f>
        <v>24</v>
      </c>
      <c r="F467" s="160" t="str">
        <f>RIGHT(YEAR(Runhours_Table[[#This Row],[Date]]),2)&amp;TEXT(_xlfn.ISOWEEKNUM(Runhours_Table[[#This Row],[Date]]),"00")</f>
        <v>2524</v>
      </c>
      <c r="G467" s="345">
        <v>17.943611000000001</v>
      </c>
      <c r="H467" s="38">
        <v>22.897778000000002</v>
      </c>
      <c r="I467" s="38">
        <f ca="1">_xlfn.ISOWEEKNUM(Runhours_Table[[#This Row],[Date]])+52*(Runhours_Table[[#This Row],[Year]]-YEAR(DATE(YEAR(TODAY()-WEEKDAY(TODAY()-1)+4),1,1)-MOD((DATE(YEAR(TODAY()-WEEKDAY(TODAY()-1)+4),1,1)-2),7)+(7*IF(MOD((DATE(YEAR(TODAY()-WEEKDAY(TODAY()-1)+4),1,1)-2),7)&gt;3,1,0))+7) )-_xlfn.ISOWEEKNUM(NOW())</f>
        <v>-13</v>
      </c>
      <c r="J467" s="345"/>
    </row>
    <row r="468" spans="1:10">
      <c r="A468" s="6" t="s">
        <v>4</v>
      </c>
      <c r="B468" s="342" t="str">
        <f>VLOOKUP(A468,Fleet[],2,FALSE)</f>
        <v>Intel</v>
      </c>
      <c r="C468" s="343">
        <v>45818</v>
      </c>
      <c r="D468" s="346">
        <f>YEAR(DATE(YEAR(Runhours_Table[[#This Row],[Date]]-WEEKDAY(Runhours_Table[[#This Row],[Date]]-1)+4),1,1)-MOD((DATE(YEAR(Runhours_Table[[#This Row],[Date]]-WEEKDAY(Runhours_Table[[#This Row],[Date]]-1)+4),1,1)-2),7)+(7*IF(MOD((DATE(YEAR(Runhours_Table[[#This Row],[Date]]-WEEKDAY(Runhours_Table[[#This Row],[Date]]-1)+4),1,1)-2),7)&gt;3,1,0))+7)</f>
        <v>2025</v>
      </c>
      <c r="E468" s="167">
        <f>_xlfn.ISOWEEKNUM(Runhours_Table[[#This Row],[Date]])</f>
        <v>24</v>
      </c>
      <c r="F468" s="160" t="str">
        <f>RIGHT(YEAR(Runhours_Table[[#This Row],[Date]]),2)&amp;TEXT(_xlfn.ISOWEEKNUM(Runhours_Table[[#This Row],[Date]]),"00")</f>
        <v>2524</v>
      </c>
      <c r="G468" s="345">
        <v>15.893333</v>
      </c>
      <c r="H468" s="38">
        <v>21.837776999999999</v>
      </c>
      <c r="I468" s="38">
        <f ca="1">_xlfn.ISOWEEKNUM(Runhours_Table[[#This Row],[Date]])+52*(Runhours_Table[[#This Row],[Year]]-YEAR(DATE(YEAR(TODAY()-WEEKDAY(TODAY()-1)+4),1,1)-MOD((DATE(YEAR(TODAY()-WEEKDAY(TODAY()-1)+4),1,1)-2),7)+(7*IF(MOD((DATE(YEAR(TODAY()-WEEKDAY(TODAY()-1)+4),1,1)-2),7)&gt;3,1,0))+7) )-_xlfn.ISOWEEKNUM(NOW())</f>
        <v>-13</v>
      </c>
      <c r="J468" s="345"/>
    </row>
    <row r="469" spans="1:10">
      <c r="A469" s="6" t="s">
        <v>7</v>
      </c>
      <c r="B469" s="342" t="str">
        <f>VLOOKUP(A469,Fleet[],2,FALSE)</f>
        <v>Intel</v>
      </c>
      <c r="C469" s="343">
        <v>45818</v>
      </c>
      <c r="D469" s="346">
        <f>YEAR(DATE(YEAR(Runhours_Table[[#This Row],[Date]]-WEEKDAY(Runhours_Table[[#This Row],[Date]]-1)+4),1,1)-MOD((DATE(YEAR(Runhours_Table[[#This Row],[Date]]-WEEKDAY(Runhours_Table[[#This Row],[Date]]-1)+4),1,1)-2),7)+(7*IF(MOD((DATE(YEAR(Runhours_Table[[#This Row],[Date]]-WEEKDAY(Runhours_Table[[#This Row],[Date]]-1)+4),1,1)-2),7)&gt;3,1,0))+7)</f>
        <v>2025</v>
      </c>
      <c r="E469" s="167">
        <f>_xlfn.ISOWEEKNUM(Runhours_Table[[#This Row],[Date]])</f>
        <v>24</v>
      </c>
      <c r="F469" s="160" t="str">
        <f>RIGHT(YEAR(Runhours_Table[[#This Row],[Date]]),2)&amp;TEXT(_xlfn.ISOWEEKNUM(Runhours_Table[[#This Row],[Date]]),"00")</f>
        <v>2524</v>
      </c>
      <c r="G469" s="345">
        <v>15.620278000000001</v>
      </c>
      <c r="H469" s="38">
        <v>21.601389000000001</v>
      </c>
      <c r="I469" s="38">
        <f ca="1">_xlfn.ISOWEEKNUM(Runhours_Table[[#This Row],[Date]])+52*(Runhours_Table[[#This Row],[Year]]-YEAR(DATE(YEAR(TODAY()-WEEKDAY(TODAY()-1)+4),1,1)-MOD((DATE(YEAR(TODAY()-WEEKDAY(TODAY()-1)+4),1,1)-2),7)+(7*IF(MOD((DATE(YEAR(TODAY()-WEEKDAY(TODAY()-1)+4),1,1)-2),7)&gt;3,1,0))+7) )-_xlfn.ISOWEEKNUM(NOW())</f>
        <v>-13</v>
      </c>
      <c r="J469" s="345"/>
    </row>
    <row r="470" spans="1:10">
      <c r="A470" s="6" t="s">
        <v>4</v>
      </c>
      <c r="B470" s="342" t="str">
        <f>VLOOKUP(A470,Fleet[],2,FALSE)</f>
        <v>Intel</v>
      </c>
      <c r="C470" s="343">
        <v>45819</v>
      </c>
      <c r="D470" s="346">
        <f>YEAR(DATE(YEAR(Runhours_Table[[#This Row],[Date]]-WEEKDAY(Runhours_Table[[#This Row],[Date]]-1)+4),1,1)-MOD((DATE(YEAR(Runhours_Table[[#This Row],[Date]]-WEEKDAY(Runhours_Table[[#This Row],[Date]]-1)+4),1,1)-2),7)+(7*IF(MOD((DATE(YEAR(Runhours_Table[[#This Row],[Date]]-WEEKDAY(Runhours_Table[[#This Row],[Date]]-1)+4),1,1)-2),7)&gt;3,1,0))+7)</f>
        <v>2025</v>
      </c>
      <c r="E470" s="167">
        <f>_xlfn.ISOWEEKNUM(Runhours_Table[[#This Row],[Date]])</f>
        <v>24</v>
      </c>
      <c r="F470" s="160" t="str">
        <f>RIGHT(YEAR(Runhours_Table[[#This Row],[Date]]),2)&amp;TEXT(_xlfn.ISOWEEKNUM(Runhours_Table[[#This Row],[Date]]),"00")</f>
        <v>2524</v>
      </c>
      <c r="G470" s="345">
        <v>12.795278</v>
      </c>
      <c r="H470" s="38">
        <v>16.133333999999998</v>
      </c>
      <c r="I470" s="38">
        <f ca="1">_xlfn.ISOWEEKNUM(Runhours_Table[[#This Row],[Date]])+52*(Runhours_Table[[#This Row],[Year]]-YEAR(DATE(YEAR(TODAY()-WEEKDAY(TODAY()-1)+4),1,1)-MOD((DATE(YEAR(TODAY()-WEEKDAY(TODAY()-1)+4),1,1)-2),7)+(7*IF(MOD((DATE(YEAR(TODAY()-WEEKDAY(TODAY()-1)+4),1,1)-2),7)&gt;3,1,0))+7) )-_xlfn.ISOWEEKNUM(NOW())</f>
        <v>-13</v>
      </c>
      <c r="J470" s="345"/>
    </row>
    <row r="471" spans="1:10">
      <c r="A471" s="6" t="s">
        <v>7</v>
      </c>
      <c r="B471" s="342" t="str">
        <f>VLOOKUP(A471,Fleet[],2,FALSE)</f>
        <v>Intel</v>
      </c>
      <c r="C471" s="343">
        <v>45819</v>
      </c>
      <c r="D471" s="346">
        <f>YEAR(DATE(YEAR(Runhours_Table[[#This Row],[Date]]-WEEKDAY(Runhours_Table[[#This Row],[Date]]-1)+4),1,1)-MOD((DATE(YEAR(Runhours_Table[[#This Row],[Date]]-WEEKDAY(Runhours_Table[[#This Row],[Date]]-1)+4),1,1)-2),7)+(7*IF(MOD((DATE(YEAR(Runhours_Table[[#This Row],[Date]]-WEEKDAY(Runhours_Table[[#This Row],[Date]]-1)+4),1,1)-2),7)&gt;3,1,0))+7)</f>
        <v>2025</v>
      </c>
      <c r="E471" s="167">
        <f>_xlfn.ISOWEEKNUM(Runhours_Table[[#This Row],[Date]])</f>
        <v>24</v>
      </c>
      <c r="F471" s="160" t="str">
        <f>RIGHT(YEAR(Runhours_Table[[#This Row],[Date]]),2)&amp;TEXT(_xlfn.ISOWEEKNUM(Runhours_Table[[#This Row],[Date]]),"00")</f>
        <v>2524</v>
      </c>
      <c r="G471" s="345">
        <v>8.3227779999999996</v>
      </c>
      <c r="H471" s="38">
        <v>17.445</v>
      </c>
      <c r="I471" s="38">
        <f ca="1">_xlfn.ISOWEEKNUM(Runhours_Table[[#This Row],[Date]])+52*(Runhours_Table[[#This Row],[Year]]-YEAR(DATE(YEAR(TODAY()-WEEKDAY(TODAY()-1)+4),1,1)-MOD((DATE(YEAR(TODAY()-WEEKDAY(TODAY()-1)+4),1,1)-2),7)+(7*IF(MOD((DATE(YEAR(TODAY()-WEEKDAY(TODAY()-1)+4),1,1)-2),7)&gt;3,1,0))+7) )-_xlfn.ISOWEEKNUM(NOW())</f>
        <v>-13</v>
      </c>
      <c r="J471" s="345"/>
    </row>
    <row r="472" spans="1:10">
      <c r="A472" s="6" t="s">
        <v>4</v>
      </c>
      <c r="B472" s="342" t="str">
        <f>VLOOKUP(A472,Fleet[],2,FALSE)</f>
        <v>Intel</v>
      </c>
      <c r="C472" s="343">
        <v>45820</v>
      </c>
      <c r="D472" s="346">
        <f>YEAR(DATE(YEAR(Runhours_Table[[#This Row],[Date]]-WEEKDAY(Runhours_Table[[#This Row],[Date]]-1)+4),1,1)-MOD((DATE(YEAR(Runhours_Table[[#This Row],[Date]]-WEEKDAY(Runhours_Table[[#This Row],[Date]]-1)+4),1,1)-2),7)+(7*IF(MOD((DATE(YEAR(Runhours_Table[[#This Row],[Date]]-WEEKDAY(Runhours_Table[[#This Row],[Date]]-1)+4),1,1)-2),7)&gt;3,1,0))+7)</f>
        <v>2025</v>
      </c>
      <c r="E472" s="167">
        <f>_xlfn.ISOWEEKNUM(Runhours_Table[[#This Row],[Date]])</f>
        <v>24</v>
      </c>
      <c r="F472" s="160" t="str">
        <f>RIGHT(YEAR(Runhours_Table[[#This Row],[Date]]),2)&amp;TEXT(_xlfn.ISOWEEKNUM(Runhours_Table[[#This Row],[Date]]),"00")</f>
        <v>2524</v>
      </c>
      <c r="G472" s="345">
        <v>19.981667000000002</v>
      </c>
      <c r="H472" s="38">
        <v>23.014445000000002</v>
      </c>
      <c r="I472" s="38">
        <f ca="1">_xlfn.ISOWEEKNUM(Runhours_Table[[#This Row],[Date]])+52*(Runhours_Table[[#This Row],[Year]]-YEAR(DATE(YEAR(TODAY()-WEEKDAY(TODAY()-1)+4),1,1)-MOD((DATE(YEAR(TODAY()-WEEKDAY(TODAY()-1)+4),1,1)-2),7)+(7*IF(MOD((DATE(YEAR(TODAY()-WEEKDAY(TODAY()-1)+4),1,1)-2),7)&gt;3,1,0))+7) )-_xlfn.ISOWEEKNUM(NOW())</f>
        <v>-13</v>
      </c>
      <c r="J472" s="345"/>
    </row>
    <row r="473" spans="1:10">
      <c r="A473" s="6" t="s">
        <v>7</v>
      </c>
      <c r="B473" s="342" t="str">
        <f>VLOOKUP(A473,Fleet[],2,FALSE)</f>
        <v>Intel</v>
      </c>
      <c r="C473" s="343">
        <v>45820</v>
      </c>
      <c r="D473" s="346">
        <f>YEAR(DATE(YEAR(Runhours_Table[[#This Row],[Date]]-WEEKDAY(Runhours_Table[[#This Row],[Date]]-1)+4),1,1)-MOD((DATE(YEAR(Runhours_Table[[#This Row],[Date]]-WEEKDAY(Runhours_Table[[#This Row],[Date]]-1)+4),1,1)-2),7)+(7*IF(MOD((DATE(YEAR(Runhours_Table[[#This Row],[Date]]-WEEKDAY(Runhours_Table[[#This Row],[Date]]-1)+4),1,1)-2),7)&gt;3,1,0))+7)</f>
        <v>2025</v>
      </c>
      <c r="E473" s="167">
        <f>_xlfn.ISOWEEKNUM(Runhours_Table[[#This Row],[Date]])</f>
        <v>24</v>
      </c>
      <c r="F473" s="160" t="str">
        <f>RIGHT(YEAR(Runhours_Table[[#This Row],[Date]]),2)&amp;TEXT(_xlfn.ISOWEEKNUM(Runhours_Table[[#This Row],[Date]]),"00")</f>
        <v>2524</v>
      </c>
      <c r="G473" s="345">
        <v>6.9583329999999997</v>
      </c>
      <c r="H473" s="38">
        <v>16.984721999999998</v>
      </c>
      <c r="I473" s="38">
        <f ca="1">_xlfn.ISOWEEKNUM(Runhours_Table[[#This Row],[Date]])+52*(Runhours_Table[[#This Row],[Year]]-YEAR(DATE(YEAR(TODAY()-WEEKDAY(TODAY()-1)+4),1,1)-MOD((DATE(YEAR(TODAY()-WEEKDAY(TODAY()-1)+4),1,1)-2),7)+(7*IF(MOD((DATE(YEAR(TODAY()-WEEKDAY(TODAY()-1)+4),1,1)-2),7)&gt;3,1,0))+7) )-_xlfn.ISOWEEKNUM(NOW())</f>
        <v>-13</v>
      </c>
      <c r="J473" s="345"/>
    </row>
    <row r="474" spans="1:10">
      <c r="A474" s="6" t="s">
        <v>4</v>
      </c>
      <c r="B474" s="342" t="str">
        <f>VLOOKUP(A474,Fleet[],2,FALSE)</f>
        <v>Intel</v>
      </c>
      <c r="C474" s="343">
        <v>45821</v>
      </c>
      <c r="D474" s="346">
        <f>YEAR(DATE(YEAR(Runhours_Table[[#This Row],[Date]]-WEEKDAY(Runhours_Table[[#This Row],[Date]]-1)+4),1,1)-MOD((DATE(YEAR(Runhours_Table[[#This Row],[Date]]-WEEKDAY(Runhours_Table[[#This Row],[Date]]-1)+4),1,1)-2),7)+(7*IF(MOD((DATE(YEAR(Runhours_Table[[#This Row],[Date]]-WEEKDAY(Runhours_Table[[#This Row],[Date]]-1)+4),1,1)-2),7)&gt;3,1,0))+7)</f>
        <v>2025</v>
      </c>
      <c r="E474" s="167">
        <f>_xlfn.ISOWEEKNUM(Runhours_Table[[#This Row],[Date]])</f>
        <v>24</v>
      </c>
      <c r="F474" s="160" t="str">
        <f>RIGHT(YEAR(Runhours_Table[[#This Row],[Date]]),2)&amp;TEXT(_xlfn.ISOWEEKNUM(Runhours_Table[[#This Row],[Date]]),"00")</f>
        <v>2524</v>
      </c>
      <c r="G474" s="345">
        <v>12.283056</v>
      </c>
      <c r="H474" s="38">
        <v>21.695556</v>
      </c>
      <c r="I474" s="38">
        <f ca="1">_xlfn.ISOWEEKNUM(Runhours_Table[[#This Row],[Date]])+52*(Runhours_Table[[#This Row],[Year]]-YEAR(DATE(YEAR(TODAY()-WEEKDAY(TODAY()-1)+4),1,1)-MOD((DATE(YEAR(TODAY()-WEEKDAY(TODAY()-1)+4),1,1)-2),7)+(7*IF(MOD((DATE(YEAR(TODAY()-WEEKDAY(TODAY()-1)+4),1,1)-2),7)&gt;3,1,0))+7) )-_xlfn.ISOWEEKNUM(NOW())</f>
        <v>-13</v>
      </c>
      <c r="J474" s="345"/>
    </row>
    <row r="475" spans="1:10">
      <c r="A475" s="6" t="s">
        <v>7</v>
      </c>
      <c r="B475" s="342" t="str">
        <f>VLOOKUP(A475,Fleet[],2,FALSE)</f>
        <v>Intel</v>
      </c>
      <c r="C475" s="343">
        <v>45821</v>
      </c>
      <c r="D475" s="346">
        <f>YEAR(DATE(YEAR(Runhours_Table[[#This Row],[Date]]-WEEKDAY(Runhours_Table[[#This Row],[Date]]-1)+4),1,1)-MOD((DATE(YEAR(Runhours_Table[[#This Row],[Date]]-WEEKDAY(Runhours_Table[[#This Row],[Date]]-1)+4),1,1)-2),7)+(7*IF(MOD((DATE(YEAR(Runhours_Table[[#This Row],[Date]]-WEEKDAY(Runhours_Table[[#This Row],[Date]]-1)+4),1,1)-2),7)&gt;3,1,0))+7)</f>
        <v>2025</v>
      </c>
      <c r="E475" s="167">
        <f>_xlfn.ISOWEEKNUM(Runhours_Table[[#This Row],[Date]])</f>
        <v>24</v>
      </c>
      <c r="F475" s="160" t="str">
        <f>RIGHT(YEAR(Runhours_Table[[#This Row],[Date]]),2)&amp;TEXT(_xlfn.ISOWEEKNUM(Runhours_Table[[#This Row],[Date]]),"00")</f>
        <v>2524</v>
      </c>
      <c r="G475" s="345">
        <v>17.559722000000001</v>
      </c>
      <c r="H475" s="38">
        <v>22.860833</v>
      </c>
      <c r="I475" s="38">
        <f ca="1">_xlfn.ISOWEEKNUM(Runhours_Table[[#This Row],[Date]])+52*(Runhours_Table[[#This Row],[Year]]-YEAR(DATE(YEAR(TODAY()-WEEKDAY(TODAY()-1)+4),1,1)-MOD((DATE(YEAR(TODAY()-WEEKDAY(TODAY()-1)+4),1,1)-2),7)+(7*IF(MOD((DATE(YEAR(TODAY()-WEEKDAY(TODAY()-1)+4),1,1)-2),7)&gt;3,1,0))+7) )-_xlfn.ISOWEEKNUM(NOW())</f>
        <v>-13</v>
      </c>
      <c r="J475" s="345"/>
    </row>
    <row r="476" spans="1:10">
      <c r="A476" s="6" t="s">
        <v>4</v>
      </c>
      <c r="B476" s="342" t="str">
        <f>VLOOKUP(A476,Fleet[],2,FALSE)</f>
        <v>Intel</v>
      </c>
      <c r="C476" s="343">
        <v>45822</v>
      </c>
      <c r="D476" s="346">
        <f>YEAR(DATE(YEAR(Runhours_Table[[#This Row],[Date]]-WEEKDAY(Runhours_Table[[#This Row],[Date]]-1)+4),1,1)-MOD((DATE(YEAR(Runhours_Table[[#This Row],[Date]]-WEEKDAY(Runhours_Table[[#This Row],[Date]]-1)+4),1,1)-2),7)+(7*IF(MOD((DATE(YEAR(Runhours_Table[[#This Row],[Date]]-WEEKDAY(Runhours_Table[[#This Row],[Date]]-1)+4),1,1)-2),7)&gt;3,1,0))+7)</f>
        <v>2025</v>
      </c>
      <c r="E476" s="167">
        <f>_xlfn.ISOWEEKNUM(Runhours_Table[[#This Row],[Date]])</f>
        <v>24</v>
      </c>
      <c r="F476" s="160" t="str">
        <f>RIGHT(YEAR(Runhours_Table[[#This Row],[Date]]),2)&amp;TEXT(_xlfn.ISOWEEKNUM(Runhours_Table[[#This Row],[Date]]),"00")</f>
        <v>2524</v>
      </c>
      <c r="G476" s="345">
        <v>19.145</v>
      </c>
      <c r="H476" s="38">
        <v>22.731943999999999</v>
      </c>
      <c r="I476" s="38">
        <f ca="1">_xlfn.ISOWEEKNUM(Runhours_Table[[#This Row],[Date]])+52*(Runhours_Table[[#This Row],[Year]]-YEAR(DATE(YEAR(TODAY()-WEEKDAY(TODAY()-1)+4),1,1)-MOD((DATE(YEAR(TODAY()-WEEKDAY(TODAY()-1)+4),1,1)-2),7)+(7*IF(MOD((DATE(YEAR(TODAY()-WEEKDAY(TODAY()-1)+4),1,1)-2),7)&gt;3,1,0))+7) )-_xlfn.ISOWEEKNUM(NOW())</f>
        <v>-13</v>
      </c>
      <c r="J476" s="345"/>
    </row>
    <row r="477" spans="1:10">
      <c r="A477" s="6" t="s">
        <v>7</v>
      </c>
      <c r="B477" s="342" t="str">
        <f>VLOOKUP(A477,Fleet[],2,FALSE)</f>
        <v>Intel</v>
      </c>
      <c r="C477" s="343">
        <v>45822</v>
      </c>
      <c r="D477" s="346">
        <f>YEAR(DATE(YEAR(Runhours_Table[[#This Row],[Date]]-WEEKDAY(Runhours_Table[[#This Row],[Date]]-1)+4),1,1)-MOD((DATE(YEAR(Runhours_Table[[#This Row],[Date]]-WEEKDAY(Runhours_Table[[#This Row],[Date]]-1)+4),1,1)-2),7)+(7*IF(MOD((DATE(YEAR(Runhours_Table[[#This Row],[Date]]-WEEKDAY(Runhours_Table[[#This Row],[Date]]-1)+4),1,1)-2),7)&gt;3,1,0))+7)</f>
        <v>2025</v>
      </c>
      <c r="E477" s="167">
        <f>_xlfn.ISOWEEKNUM(Runhours_Table[[#This Row],[Date]])</f>
        <v>24</v>
      </c>
      <c r="F477" s="160" t="str">
        <f>RIGHT(YEAR(Runhours_Table[[#This Row],[Date]]),2)&amp;TEXT(_xlfn.ISOWEEKNUM(Runhours_Table[[#This Row],[Date]]),"00")</f>
        <v>2524</v>
      </c>
      <c r="G477" s="345">
        <v>14.814722</v>
      </c>
      <c r="H477" s="38">
        <v>20.252499999999998</v>
      </c>
      <c r="I477" s="38">
        <f ca="1">_xlfn.ISOWEEKNUM(Runhours_Table[[#This Row],[Date]])+52*(Runhours_Table[[#This Row],[Year]]-YEAR(DATE(YEAR(TODAY()-WEEKDAY(TODAY()-1)+4),1,1)-MOD((DATE(YEAR(TODAY()-WEEKDAY(TODAY()-1)+4),1,1)-2),7)+(7*IF(MOD((DATE(YEAR(TODAY()-WEEKDAY(TODAY()-1)+4),1,1)-2),7)&gt;3,1,0))+7) )-_xlfn.ISOWEEKNUM(NOW())</f>
        <v>-13</v>
      </c>
      <c r="J477" s="345"/>
    </row>
    <row r="478" spans="1:10">
      <c r="A478" s="6" t="s">
        <v>4</v>
      </c>
      <c r="B478" s="342" t="str">
        <f>VLOOKUP(A478,Fleet[],2,FALSE)</f>
        <v>Intel</v>
      </c>
      <c r="C478" s="343">
        <v>45823</v>
      </c>
      <c r="D478" s="346">
        <f>YEAR(DATE(YEAR(Runhours_Table[[#This Row],[Date]]-WEEKDAY(Runhours_Table[[#This Row],[Date]]-1)+4),1,1)-MOD((DATE(YEAR(Runhours_Table[[#This Row],[Date]]-WEEKDAY(Runhours_Table[[#This Row],[Date]]-1)+4),1,1)-2),7)+(7*IF(MOD((DATE(YEAR(Runhours_Table[[#This Row],[Date]]-WEEKDAY(Runhours_Table[[#This Row],[Date]]-1)+4),1,1)-2),7)&gt;3,1,0))+7)</f>
        <v>2025</v>
      </c>
      <c r="E478" s="167">
        <f>_xlfn.ISOWEEKNUM(Runhours_Table[[#This Row],[Date]])</f>
        <v>24</v>
      </c>
      <c r="F478" s="160" t="str">
        <f>RIGHT(YEAR(Runhours_Table[[#This Row],[Date]]),2)&amp;TEXT(_xlfn.ISOWEEKNUM(Runhours_Table[[#This Row],[Date]]),"00")</f>
        <v>2524</v>
      </c>
      <c r="G478" s="345"/>
      <c r="H478" s="38">
        <v>2.7799999999999998E-4</v>
      </c>
      <c r="I478" s="38">
        <f ca="1">_xlfn.ISOWEEKNUM(Runhours_Table[[#This Row],[Date]])+52*(Runhours_Table[[#This Row],[Year]]-YEAR(DATE(YEAR(TODAY()-WEEKDAY(TODAY()-1)+4),1,1)-MOD((DATE(YEAR(TODAY()-WEEKDAY(TODAY()-1)+4),1,1)-2),7)+(7*IF(MOD((DATE(YEAR(TODAY()-WEEKDAY(TODAY()-1)+4),1,1)-2),7)&gt;3,1,0))+7) )-_xlfn.ISOWEEKNUM(NOW())</f>
        <v>-13</v>
      </c>
      <c r="J478" s="345"/>
    </row>
    <row r="479" spans="1:10">
      <c r="A479" s="6" t="s">
        <v>7</v>
      </c>
      <c r="B479" s="342" t="str">
        <f>VLOOKUP(A479,Fleet[],2,FALSE)</f>
        <v>Intel</v>
      </c>
      <c r="C479" s="343">
        <v>45823</v>
      </c>
      <c r="D479" s="346">
        <f>YEAR(DATE(YEAR(Runhours_Table[[#This Row],[Date]]-WEEKDAY(Runhours_Table[[#This Row],[Date]]-1)+4),1,1)-MOD((DATE(YEAR(Runhours_Table[[#This Row],[Date]]-WEEKDAY(Runhours_Table[[#This Row],[Date]]-1)+4),1,1)-2),7)+(7*IF(MOD((DATE(YEAR(Runhours_Table[[#This Row],[Date]]-WEEKDAY(Runhours_Table[[#This Row],[Date]]-1)+4),1,1)-2),7)&gt;3,1,0))+7)</f>
        <v>2025</v>
      </c>
      <c r="E479" s="167">
        <f>_xlfn.ISOWEEKNUM(Runhours_Table[[#This Row],[Date]])</f>
        <v>24</v>
      </c>
      <c r="F479" s="160" t="str">
        <f>RIGHT(YEAR(Runhours_Table[[#This Row],[Date]]),2)&amp;TEXT(_xlfn.ISOWEEKNUM(Runhours_Table[[#This Row],[Date]]),"00")</f>
        <v>2524</v>
      </c>
      <c r="G479" s="345"/>
      <c r="H479" s="38">
        <v>0</v>
      </c>
      <c r="I479" s="38">
        <f ca="1">_xlfn.ISOWEEKNUM(Runhours_Table[[#This Row],[Date]])+52*(Runhours_Table[[#This Row],[Year]]-YEAR(DATE(YEAR(TODAY()-WEEKDAY(TODAY()-1)+4),1,1)-MOD((DATE(YEAR(TODAY()-WEEKDAY(TODAY()-1)+4),1,1)-2),7)+(7*IF(MOD((DATE(YEAR(TODAY()-WEEKDAY(TODAY()-1)+4),1,1)-2),7)&gt;3,1,0))+7) )-_xlfn.ISOWEEKNUM(NOW())</f>
        <v>-13</v>
      </c>
      <c r="J479" s="345"/>
    </row>
    <row r="480" spans="1:10">
      <c r="A480" s="6" t="s">
        <v>4</v>
      </c>
      <c r="B480" s="342" t="str">
        <f>VLOOKUP(A480,Fleet[],2,FALSE)</f>
        <v>Intel</v>
      </c>
      <c r="C480" s="343">
        <v>45824</v>
      </c>
      <c r="D480" s="346">
        <f>YEAR(DATE(YEAR(Runhours_Table[[#This Row],[Date]]-WEEKDAY(Runhours_Table[[#This Row],[Date]]-1)+4),1,1)-MOD((DATE(YEAR(Runhours_Table[[#This Row],[Date]]-WEEKDAY(Runhours_Table[[#This Row],[Date]]-1)+4),1,1)-2),7)+(7*IF(MOD((DATE(YEAR(Runhours_Table[[#This Row],[Date]]-WEEKDAY(Runhours_Table[[#This Row],[Date]]-1)+4),1,1)-2),7)&gt;3,1,0))+7)</f>
        <v>2025</v>
      </c>
      <c r="E480" s="167">
        <f>_xlfn.ISOWEEKNUM(Runhours_Table[[#This Row],[Date]])</f>
        <v>25</v>
      </c>
      <c r="F480" s="160" t="str">
        <f>RIGHT(YEAR(Runhours_Table[[#This Row],[Date]]),2)&amp;TEXT(_xlfn.ISOWEEKNUM(Runhours_Table[[#This Row],[Date]]),"00")</f>
        <v>2525</v>
      </c>
      <c r="G480" s="345"/>
      <c r="H480" s="38">
        <v>0</v>
      </c>
      <c r="I480" s="38">
        <f ca="1">_xlfn.ISOWEEKNUM(Runhours_Table[[#This Row],[Date]])+52*(Runhours_Table[[#This Row],[Year]]-YEAR(DATE(YEAR(TODAY()-WEEKDAY(TODAY()-1)+4),1,1)-MOD((DATE(YEAR(TODAY()-WEEKDAY(TODAY()-1)+4),1,1)-2),7)+(7*IF(MOD((DATE(YEAR(TODAY()-WEEKDAY(TODAY()-1)+4),1,1)-2),7)&gt;3,1,0))+7) )-_xlfn.ISOWEEKNUM(NOW())</f>
        <v>-12</v>
      </c>
      <c r="J480" s="345"/>
    </row>
    <row r="481" spans="1:10">
      <c r="A481" s="6" t="s">
        <v>7</v>
      </c>
      <c r="B481" s="342" t="str">
        <f>VLOOKUP(A481,Fleet[],2,FALSE)</f>
        <v>Intel</v>
      </c>
      <c r="C481" s="343">
        <v>45824</v>
      </c>
      <c r="D481" s="346">
        <f>YEAR(DATE(YEAR(Runhours_Table[[#This Row],[Date]]-WEEKDAY(Runhours_Table[[#This Row],[Date]]-1)+4),1,1)-MOD((DATE(YEAR(Runhours_Table[[#This Row],[Date]]-WEEKDAY(Runhours_Table[[#This Row],[Date]]-1)+4),1,1)-2),7)+(7*IF(MOD((DATE(YEAR(Runhours_Table[[#This Row],[Date]]-WEEKDAY(Runhours_Table[[#This Row],[Date]]-1)+4),1,1)-2),7)&gt;3,1,0))+7)</f>
        <v>2025</v>
      </c>
      <c r="E481" s="167">
        <f>_xlfn.ISOWEEKNUM(Runhours_Table[[#This Row],[Date]])</f>
        <v>25</v>
      </c>
      <c r="F481" s="160" t="str">
        <f>RIGHT(YEAR(Runhours_Table[[#This Row],[Date]]),2)&amp;TEXT(_xlfn.ISOWEEKNUM(Runhours_Table[[#This Row],[Date]]),"00")</f>
        <v>2525</v>
      </c>
      <c r="G481" s="345"/>
      <c r="H481" s="38">
        <v>0</v>
      </c>
      <c r="I481" s="38">
        <f ca="1">_xlfn.ISOWEEKNUM(Runhours_Table[[#This Row],[Date]])+52*(Runhours_Table[[#This Row],[Year]]-YEAR(DATE(YEAR(TODAY()-WEEKDAY(TODAY()-1)+4),1,1)-MOD((DATE(YEAR(TODAY()-WEEKDAY(TODAY()-1)+4),1,1)-2),7)+(7*IF(MOD((DATE(YEAR(TODAY()-WEEKDAY(TODAY()-1)+4),1,1)-2),7)&gt;3,1,0))+7) )-_xlfn.ISOWEEKNUM(NOW())</f>
        <v>-12</v>
      </c>
      <c r="J481" s="345"/>
    </row>
    <row r="482" spans="1:10">
      <c r="A482" s="6" t="s">
        <v>4</v>
      </c>
      <c r="B482" s="342" t="str">
        <f>VLOOKUP(A482,Fleet[],2,FALSE)</f>
        <v>Intel</v>
      </c>
      <c r="C482" s="343">
        <v>45825</v>
      </c>
      <c r="D482" s="346">
        <f>YEAR(DATE(YEAR(Runhours_Table[[#This Row],[Date]]-WEEKDAY(Runhours_Table[[#This Row],[Date]]-1)+4),1,1)-MOD((DATE(YEAR(Runhours_Table[[#This Row],[Date]]-WEEKDAY(Runhours_Table[[#This Row],[Date]]-1)+4),1,1)-2),7)+(7*IF(MOD((DATE(YEAR(Runhours_Table[[#This Row],[Date]]-WEEKDAY(Runhours_Table[[#This Row],[Date]]-1)+4),1,1)-2),7)&gt;3,1,0))+7)</f>
        <v>2025</v>
      </c>
      <c r="E482" s="167">
        <f>_xlfn.ISOWEEKNUM(Runhours_Table[[#This Row],[Date]])</f>
        <v>25</v>
      </c>
      <c r="F482" s="160" t="str">
        <f>RIGHT(YEAR(Runhours_Table[[#This Row],[Date]]),2)&amp;TEXT(_xlfn.ISOWEEKNUM(Runhours_Table[[#This Row],[Date]]),"00")</f>
        <v>2525</v>
      </c>
      <c r="G482" s="345"/>
      <c r="H482" s="38">
        <v>0</v>
      </c>
      <c r="I482" s="38">
        <f ca="1">_xlfn.ISOWEEKNUM(Runhours_Table[[#This Row],[Date]])+52*(Runhours_Table[[#This Row],[Year]]-YEAR(DATE(YEAR(TODAY()-WEEKDAY(TODAY()-1)+4),1,1)-MOD((DATE(YEAR(TODAY()-WEEKDAY(TODAY()-1)+4),1,1)-2),7)+(7*IF(MOD((DATE(YEAR(TODAY()-WEEKDAY(TODAY()-1)+4),1,1)-2),7)&gt;3,1,0))+7) )-_xlfn.ISOWEEKNUM(NOW())</f>
        <v>-12</v>
      </c>
      <c r="J482" s="345"/>
    </row>
    <row r="483" spans="1:10">
      <c r="A483" s="6" t="s">
        <v>7</v>
      </c>
      <c r="B483" s="342" t="str">
        <f>VLOOKUP(A483,Fleet[],2,FALSE)</f>
        <v>Intel</v>
      </c>
      <c r="C483" s="343">
        <v>45825</v>
      </c>
      <c r="D483" s="346">
        <f>YEAR(DATE(YEAR(Runhours_Table[[#This Row],[Date]]-WEEKDAY(Runhours_Table[[#This Row],[Date]]-1)+4),1,1)-MOD((DATE(YEAR(Runhours_Table[[#This Row],[Date]]-WEEKDAY(Runhours_Table[[#This Row],[Date]]-1)+4),1,1)-2),7)+(7*IF(MOD((DATE(YEAR(Runhours_Table[[#This Row],[Date]]-WEEKDAY(Runhours_Table[[#This Row],[Date]]-1)+4),1,1)-2),7)&gt;3,1,0))+7)</f>
        <v>2025</v>
      </c>
      <c r="E483" s="167">
        <f>_xlfn.ISOWEEKNUM(Runhours_Table[[#This Row],[Date]])</f>
        <v>25</v>
      </c>
      <c r="F483" s="160" t="str">
        <f>RIGHT(YEAR(Runhours_Table[[#This Row],[Date]]),2)&amp;TEXT(_xlfn.ISOWEEKNUM(Runhours_Table[[#This Row],[Date]]),"00")</f>
        <v>2525</v>
      </c>
      <c r="G483" s="345"/>
      <c r="H483" s="38">
        <v>0</v>
      </c>
      <c r="I483" s="38">
        <f ca="1">_xlfn.ISOWEEKNUM(Runhours_Table[[#This Row],[Date]])+52*(Runhours_Table[[#This Row],[Year]]-YEAR(DATE(YEAR(TODAY()-WEEKDAY(TODAY()-1)+4),1,1)-MOD((DATE(YEAR(TODAY()-WEEKDAY(TODAY()-1)+4),1,1)-2),7)+(7*IF(MOD((DATE(YEAR(TODAY()-WEEKDAY(TODAY()-1)+4),1,1)-2),7)&gt;3,1,0))+7) )-_xlfn.ISOWEEKNUM(NOW())</f>
        <v>-12</v>
      </c>
      <c r="J483" s="345"/>
    </row>
    <row r="484" spans="1:10">
      <c r="A484" s="6" t="s">
        <v>4</v>
      </c>
      <c r="B484" s="342" t="str">
        <f>VLOOKUP(A484,Fleet[],2,FALSE)</f>
        <v>Intel</v>
      </c>
      <c r="C484" s="343"/>
      <c r="D484" s="346"/>
      <c r="E484" s="167"/>
      <c r="F484" s="160"/>
      <c r="G484" s="345"/>
      <c r="H484" s="38">
        <v>0</v>
      </c>
      <c r="I484" s="38">
        <f ca="1">_xlfn.ISOWEEKNUM(Runhours_Table[[#This Row],[Date]])+52*(Runhours_Table[[#This Row],[Year]]-YEAR(DATE(YEAR(TODAY()-WEEKDAY(TODAY()-1)+4),1,1)-MOD((DATE(YEAR(TODAY()-WEEKDAY(TODAY()-1)+4),1,1)-2),7)+(7*IF(MOD((DATE(YEAR(TODAY()-WEEKDAY(TODAY()-1)+4),1,1)-2),7)&gt;3,1,0))+7) )-_xlfn.ISOWEEKNUM(NOW())</f>
        <v>-105285</v>
      </c>
      <c r="J484" s="345"/>
    </row>
    <row r="485" spans="1:10">
      <c r="A485" s="6" t="s">
        <v>7</v>
      </c>
      <c r="B485" s="342" t="str">
        <f>VLOOKUP(A485,Fleet[],2,FALSE)</f>
        <v>Intel</v>
      </c>
      <c r="C485" s="343"/>
      <c r="D485" s="346"/>
      <c r="E485" s="167"/>
      <c r="F485" s="160"/>
      <c r="G485" s="345"/>
      <c r="H485" s="38">
        <v>0</v>
      </c>
      <c r="I485" s="38">
        <f ca="1">_xlfn.ISOWEEKNUM(Runhours_Table[[#This Row],[Date]])+52*(Runhours_Table[[#This Row],[Year]]-YEAR(DATE(YEAR(TODAY()-WEEKDAY(TODAY()-1)+4),1,1)-MOD((DATE(YEAR(TODAY()-WEEKDAY(TODAY()-1)+4),1,1)-2),7)+(7*IF(MOD((DATE(YEAR(TODAY()-WEEKDAY(TODAY()-1)+4),1,1)-2),7)&gt;3,1,0))+7) )-_xlfn.ISOWEEKNUM(NOW())</f>
        <v>-105285</v>
      </c>
      <c r="J485" s="345"/>
    </row>
    <row r="486" spans="1:10">
      <c r="A486" s="6" t="s">
        <v>4</v>
      </c>
      <c r="B486" s="342" t="str">
        <f>VLOOKUP(A486,Fleet[],2,FALSE)</f>
        <v>Intel</v>
      </c>
      <c r="C486" s="343"/>
      <c r="D486" s="346"/>
      <c r="E486" s="167"/>
      <c r="F486" s="160"/>
      <c r="G486" s="345"/>
      <c r="H486" s="31"/>
      <c r="I486" s="38"/>
      <c r="J486" s="345"/>
    </row>
    <row r="487" spans="1:10">
      <c r="A487" s="6" t="s">
        <v>7</v>
      </c>
      <c r="B487" s="342" t="str">
        <f>VLOOKUP(A487,Fleet[],2,FALSE)</f>
        <v>Intel</v>
      </c>
      <c r="C487" s="343"/>
      <c r="D487" s="346"/>
      <c r="E487" s="167"/>
      <c r="F487" s="160"/>
      <c r="G487" s="345"/>
      <c r="H487" s="31"/>
      <c r="I487" s="38"/>
      <c r="J487" s="345"/>
    </row>
    <row r="488" spans="1:10">
      <c r="A488" s="6" t="s">
        <v>4</v>
      </c>
      <c r="B488" s="342" t="str">
        <f>VLOOKUP(A488,Fleet[],2,FALSE)</f>
        <v>Intel</v>
      </c>
      <c r="C488" s="343"/>
      <c r="D488" s="346"/>
      <c r="E488" s="167"/>
      <c r="F488" s="160"/>
      <c r="G488" s="345"/>
      <c r="H488" s="31"/>
      <c r="I488" s="38"/>
      <c r="J488" s="345"/>
    </row>
    <row r="489" spans="1:10">
      <c r="A489" s="6" t="s">
        <v>7</v>
      </c>
      <c r="B489" s="342" t="str">
        <f>VLOOKUP(A489,Fleet[],2,FALSE)</f>
        <v>Intel</v>
      </c>
      <c r="C489" s="343"/>
      <c r="D489" s="346"/>
      <c r="E489" s="167"/>
      <c r="F489" s="160"/>
      <c r="G489" s="345"/>
      <c r="H489" s="31"/>
      <c r="I489" s="38"/>
      <c r="J489" s="345"/>
    </row>
    <row r="490" spans="1:10">
      <c r="A490" s="6" t="s">
        <v>4</v>
      </c>
      <c r="B490" s="342" t="str">
        <f>VLOOKUP(A490,Fleet[],2,FALSE)</f>
        <v>Intel</v>
      </c>
      <c r="C490" s="343"/>
      <c r="D490" s="346"/>
      <c r="E490" s="167"/>
      <c r="F490" s="160"/>
      <c r="G490" s="345"/>
      <c r="H490" s="31"/>
      <c r="I490" s="38"/>
      <c r="J490" s="345"/>
    </row>
    <row r="491" spans="1:10">
      <c r="A491" s="6" t="s">
        <v>7</v>
      </c>
      <c r="B491" s="342" t="str">
        <f>VLOOKUP(A491,Fleet[],2,FALSE)</f>
        <v>Intel</v>
      </c>
      <c r="C491" s="343"/>
      <c r="D491" s="346"/>
      <c r="E491" s="167"/>
      <c r="F491" s="160"/>
      <c r="G491" s="345"/>
      <c r="H491" s="31"/>
      <c r="I491" s="38"/>
      <c r="J491" s="345"/>
    </row>
    <row r="492" spans="1:10">
      <c r="A492" s="6" t="s">
        <v>4</v>
      </c>
      <c r="B492" s="342" t="str">
        <f>VLOOKUP(A492,Fleet[],2,FALSE)</f>
        <v>Intel</v>
      </c>
      <c r="C492" s="343"/>
      <c r="D492" s="346"/>
      <c r="E492" s="167"/>
      <c r="F492" s="160"/>
      <c r="G492" s="345"/>
      <c r="H492" s="31"/>
      <c r="I492" s="38"/>
      <c r="J492" s="345"/>
    </row>
    <row r="493" spans="1:10">
      <c r="A493" s="6" t="s">
        <v>7</v>
      </c>
      <c r="B493" s="342" t="str">
        <f>VLOOKUP(A493,Fleet[],2,FALSE)</f>
        <v>Intel</v>
      </c>
      <c r="C493" s="343"/>
      <c r="D493" s="346"/>
      <c r="E493" s="167"/>
      <c r="F493" s="160"/>
      <c r="G493" s="345"/>
      <c r="H493" s="31"/>
      <c r="I493" s="38"/>
      <c r="J493" s="345"/>
    </row>
    <row r="494" spans="1:10">
      <c r="A494" s="6" t="s">
        <v>4</v>
      </c>
      <c r="B494" s="342" t="str">
        <f>VLOOKUP(A494,Fleet[],2,FALSE)</f>
        <v>Intel</v>
      </c>
      <c r="C494" s="343"/>
      <c r="D494" s="346"/>
      <c r="E494" s="167"/>
      <c r="F494" s="160"/>
      <c r="G494" s="345"/>
      <c r="H494" s="31"/>
      <c r="I494" s="38"/>
      <c r="J494" s="345"/>
    </row>
    <row r="495" spans="1:10">
      <c r="A495" s="6" t="s">
        <v>7</v>
      </c>
      <c r="B495" s="342" t="str">
        <f>VLOOKUP(A495,Fleet[],2,FALSE)</f>
        <v>Intel</v>
      </c>
      <c r="C495" s="343"/>
      <c r="D495" s="346"/>
      <c r="E495" s="167"/>
      <c r="F495" s="160"/>
      <c r="G495" s="345"/>
      <c r="H495" s="31"/>
      <c r="I495" s="38"/>
      <c r="J495" s="345"/>
    </row>
    <row r="496" spans="1:10">
      <c r="A496" s="6" t="s">
        <v>4</v>
      </c>
      <c r="B496" s="342" t="str">
        <f>VLOOKUP(A496,Fleet[],2,FALSE)</f>
        <v>Intel</v>
      </c>
      <c r="C496" s="343"/>
      <c r="D496" s="346"/>
      <c r="E496" s="167"/>
      <c r="F496" s="160"/>
      <c r="G496" s="345"/>
      <c r="H496" s="31"/>
      <c r="I496" s="38"/>
      <c r="J496" s="345"/>
    </row>
    <row r="497" spans="1:10">
      <c r="A497" s="6" t="s">
        <v>7</v>
      </c>
      <c r="B497" s="342" t="str">
        <f>VLOOKUP(A497,Fleet[],2,FALSE)</f>
        <v>Intel</v>
      </c>
      <c r="C497" s="343"/>
      <c r="D497" s="346"/>
      <c r="E497" s="167"/>
      <c r="F497" s="160"/>
      <c r="G497" s="345"/>
      <c r="H497" s="31"/>
      <c r="I497" s="38"/>
      <c r="J497" s="345"/>
    </row>
    <row r="498" spans="1:10">
      <c r="A498" s="6" t="s">
        <v>4</v>
      </c>
      <c r="B498" s="342" t="str">
        <f>VLOOKUP(A498,Fleet[],2,FALSE)</f>
        <v>Intel</v>
      </c>
      <c r="C498" s="343"/>
      <c r="D498" s="346"/>
      <c r="E498" s="167"/>
      <c r="F498" s="160"/>
      <c r="G498" s="345"/>
      <c r="H498" s="31"/>
      <c r="I498" s="38"/>
      <c r="J498" s="345"/>
    </row>
    <row r="499" spans="1:10">
      <c r="A499" s="6" t="s">
        <v>7</v>
      </c>
      <c r="B499" s="342" t="str">
        <f>VLOOKUP(A499,Fleet[],2,FALSE)</f>
        <v>Intel</v>
      </c>
      <c r="C499" s="343"/>
      <c r="D499" s="346"/>
      <c r="E499" s="167"/>
      <c r="F499" s="160"/>
      <c r="G499" s="345"/>
      <c r="H499" s="31"/>
      <c r="I499" s="38"/>
      <c r="J499" s="345"/>
    </row>
    <row r="500" spans="1:10">
      <c r="A500" s="6" t="s">
        <v>4</v>
      </c>
      <c r="B500" s="342" t="str">
        <f>VLOOKUP(A500,Fleet[],2,FALSE)</f>
        <v>Intel</v>
      </c>
      <c r="C500" s="343"/>
      <c r="D500" s="346"/>
      <c r="E500" s="167"/>
      <c r="F500" s="160"/>
      <c r="G500" s="345"/>
      <c r="H500" s="31"/>
      <c r="I500" s="38"/>
      <c r="J500" s="345"/>
    </row>
    <row r="501" spans="1:10">
      <c r="A501" s="6" t="s">
        <v>7</v>
      </c>
      <c r="B501" s="342" t="str">
        <f>VLOOKUP(A501,Fleet[],2,FALSE)</f>
        <v>Intel</v>
      </c>
      <c r="C501" s="343"/>
      <c r="D501" s="346"/>
      <c r="E501" s="167"/>
      <c r="F501" s="160"/>
      <c r="G501" s="345"/>
      <c r="H501" s="31"/>
      <c r="I501" s="38"/>
      <c r="J501" s="345"/>
    </row>
    <row r="502" spans="1:10">
      <c r="A502" s="6" t="s">
        <v>4</v>
      </c>
      <c r="B502" s="342" t="str">
        <f>VLOOKUP(A502,Fleet[],2,FALSE)</f>
        <v>Intel</v>
      </c>
      <c r="C502" s="343"/>
      <c r="D502" s="346"/>
      <c r="E502" s="167"/>
      <c r="F502" s="160"/>
      <c r="G502" s="345"/>
      <c r="H502" s="31"/>
      <c r="I502" s="38"/>
      <c r="J502" s="345"/>
    </row>
    <row r="503" spans="1:10">
      <c r="A503" s="6" t="s">
        <v>7</v>
      </c>
      <c r="B503" s="342" t="str">
        <f>VLOOKUP(A503,Fleet[],2,FALSE)</f>
        <v>Intel</v>
      </c>
      <c r="C503" s="343"/>
      <c r="D503" s="346"/>
      <c r="E503" s="167"/>
      <c r="F503" s="160"/>
      <c r="G503" s="345"/>
      <c r="H503" s="31"/>
      <c r="I503" s="38"/>
      <c r="J503" s="345"/>
    </row>
    <row r="504" spans="1:10">
      <c r="A504" s="6" t="s">
        <v>4</v>
      </c>
      <c r="B504" s="342" t="str">
        <f>VLOOKUP(A504,Fleet[],2,FALSE)</f>
        <v>Intel</v>
      </c>
      <c r="C504" s="343"/>
      <c r="D504" s="346"/>
      <c r="E504" s="167"/>
      <c r="F504" s="160"/>
      <c r="G504" s="345"/>
      <c r="H504" s="31"/>
      <c r="I504" s="38"/>
      <c r="J504" s="345"/>
    </row>
    <row r="505" spans="1:10">
      <c r="A505" s="6" t="s">
        <v>7</v>
      </c>
      <c r="B505" s="342" t="str">
        <f>VLOOKUP(A505,Fleet[],2,FALSE)</f>
        <v>Intel</v>
      </c>
      <c r="C505" s="343"/>
      <c r="D505" s="346"/>
      <c r="E505" s="167"/>
      <c r="F505" s="160"/>
      <c r="G505" s="345"/>
      <c r="H505" s="31"/>
      <c r="I505" s="38"/>
      <c r="J505" s="345"/>
    </row>
    <row r="506" spans="1:10">
      <c r="A506" s="6" t="s">
        <v>4</v>
      </c>
      <c r="B506" s="342" t="str">
        <f>VLOOKUP(A506,Fleet[],2,FALSE)</f>
        <v>Intel</v>
      </c>
      <c r="C506" s="343"/>
      <c r="D506" s="346"/>
      <c r="E506" s="167"/>
      <c r="F506" s="160"/>
      <c r="G506" s="345"/>
      <c r="H506" s="31"/>
      <c r="I506" s="38"/>
      <c r="J506" s="345"/>
    </row>
    <row r="507" spans="1:10">
      <c r="A507" s="6" t="s">
        <v>7</v>
      </c>
      <c r="B507" s="342" t="str">
        <f>VLOOKUP(A507,Fleet[],2,FALSE)</f>
        <v>Intel</v>
      </c>
      <c r="C507" s="343"/>
      <c r="D507" s="346"/>
      <c r="E507" s="167"/>
      <c r="F507" s="160"/>
      <c r="G507" s="345"/>
      <c r="H507" s="31"/>
      <c r="I507" s="38"/>
      <c r="J507" s="345"/>
    </row>
    <row r="508" spans="1:10">
      <c r="A508" s="6" t="s">
        <v>4</v>
      </c>
      <c r="B508" s="342" t="str">
        <f>VLOOKUP(A508,Fleet[],2,FALSE)</f>
        <v>Intel</v>
      </c>
      <c r="C508" s="343"/>
      <c r="D508" s="346"/>
      <c r="E508" s="167"/>
      <c r="F508" s="160"/>
      <c r="G508" s="345"/>
      <c r="H508" s="31"/>
      <c r="I508" s="38"/>
      <c r="J508" s="345"/>
    </row>
    <row r="509" spans="1:10">
      <c r="A509" s="6" t="s">
        <v>7</v>
      </c>
      <c r="B509" s="342" t="str">
        <f>VLOOKUP(A509,Fleet[],2,FALSE)</f>
        <v>Intel</v>
      </c>
      <c r="C509" s="343"/>
      <c r="D509" s="346"/>
      <c r="E509" s="167"/>
      <c r="F509" s="160"/>
      <c r="G509" s="345"/>
      <c r="H509" s="31"/>
      <c r="I509" s="38"/>
      <c r="J509" s="345"/>
    </row>
    <row r="510" spans="1:10">
      <c r="A510" s="6" t="s">
        <v>4</v>
      </c>
      <c r="B510" s="342" t="str">
        <f>VLOOKUP(A510,Fleet[],2,FALSE)</f>
        <v>Intel</v>
      </c>
      <c r="C510" s="343"/>
      <c r="D510" s="346"/>
      <c r="E510" s="167"/>
      <c r="F510" s="160"/>
      <c r="G510" s="345"/>
      <c r="H510" s="31"/>
      <c r="I510" s="38"/>
      <c r="J510" s="345"/>
    </row>
    <row r="511" spans="1:10">
      <c r="A511" s="6" t="s">
        <v>7</v>
      </c>
      <c r="B511" s="342" t="str">
        <f>VLOOKUP(A511,Fleet[],2,FALSE)</f>
        <v>Intel</v>
      </c>
      <c r="C511" s="343"/>
      <c r="D511" s="346"/>
      <c r="E511" s="167"/>
      <c r="F511" s="160"/>
      <c r="G511" s="345"/>
      <c r="H511" s="31"/>
      <c r="I511" s="38"/>
      <c r="J511" s="345"/>
    </row>
    <row r="512" spans="1:10">
      <c r="A512" s="6" t="s">
        <v>4</v>
      </c>
      <c r="B512" s="342" t="str">
        <f>VLOOKUP(A512,Fleet[],2,FALSE)</f>
        <v>Intel</v>
      </c>
      <c r="C512" s="343"/>
      <c r="D512" s="346"/>
      <c r="E512" s="167"/>
      <c r="F512" s="160"/>
      <c r="G512" s="345"/>
      <c r="H512" s="31"/>
      <c r="I512" s="38"/>
      <c r="J512" s="345"/>
    </row>
    <row r="513" spans="1:10">
      <c r="A513" s="6" t="s">
        <v>7</v>
      </c>
      <c r="B513" s="342" t="str">
        <f>VLOOKUP(A513,Fleet[],2,FALSE)</f>
        <v>Intel</v>
      </c>
      <c r="C513" s="343"/>
      <c r="D513" s="346"/>
      <c r="E513" s="167"/>
      <c r="F513" s="160"/>
      <c r="G513" s="345"/>
      <c r="H513" s="31"/>
      <c r="I513" s="38"/>
      <c r="J513" s="345"/>
    </row>
    <row r="514" spans="1:10">
      <c r="A514" s="6" t="s">
        <v>4</v>
      </c>
      <c r="B514" s="342" t="str">
        <f>VLOOKUP(A514,Fleet[],2,FALSE)</f>
        <v>Intel</v>
      </c>
      <c r="C514" s="343"/>
      <c r="D514" s="346"/>
      <c r="E514" s="167"/>
      <c r="F514" s="160"/>
      <c r="G514" s="345"/>
      <c r="H514" s="31"/>
      <c r="I514" s="38"/>
      <c r="J514" s="345"/>
    </row>
    <row r="515" spans="1:10">
      <c r="A515" s="6" t="s">
        <v>7</v>
      </c>
      <c r="B515" s="342" t="str">
        <f>VLOOKUP(A515,Fleet[],2,FALSE)</f>
        <v>Intel</v>
      </c>
      <c r="C515" s="343"/>
      <c r="D515" s="346"/>
      <c r="E515" s="167"/>
      <c r="F515" s="160"/>
      <c r="G515" s="345"/>
      <c r="H515" s="31"/>
      <c r="I515" s="38"/>
      <c r="J515" s="345"/>
    </row>
    <row r="516" spans="1:10">
      <c r="A516" s="6" t="s">
        <v>4</v>
      </c>
      <c r="B516" s="342" t="str">
        <f>VLOOKUP(A516,Fleet[],2,FALSE)</f>
        <v>Intel</v>
      </c>
      <c r="C516" s="343"/>
      <c r="D516" s="346"/>
      <c r="E516" s="167"/>
      <c r="F516" s="160"/>
      <c r="G516" s="345"/>
      <c r="H516" s="31"/>
      <c r="I516" s="38"/>
      <c r="J516" s="345"/>
    </row>
    <row r="517" spans="1:10">
      <c r="A517" s="6" t="s">
        <v>7</v>
      </c>
      <c r="B517" s="342" t="str">
        <f>VLOOKUP(A517,Fleet[],2,FALSE)</f>
        <v>Intel</v>
      </c>
      <c r="C517" s="343"/>
      <c r="D517" s="346"/>
      <c r="E517" s="167"/>
      <c r="F517" s="160"/>
      <c r="G517" s="345"/>
      <c r="H517" s="31"/>
      <c r="I517" s="38"/>
      <c r="J517" s="345"/>
    </row>
    <row r="518" spans="1:10">
      <c r="A518" s="6" t="s">
        <v>4</v>
      </c>
      <c r="B518" s="342" t="str">
        <f>VLOOKUP(A518,Fleet[],2,FALSE)</f>
        <v>Intel</v>
      </c>
      <c r="C518" s="343"/>
      <c r="D518" s="346"/>
      <c r="E518" s="167"/>
      <c r="F518" s="160"/>
      <c r="G518" s="345"/>
      <c r="H518" s="31"/>
      <c r="I518" s="38"/>
      <c r="J518" s="345"/>
    </row>
    <row r="519" spans="1:10">
      <c r="A519" s="6" t="s">
        <v>7</v>
      </c>
      <c r="B519" s="342" t="str">
        <f>VLOOKUP(A519,Fleet[],2,FALSE)</f>
        <v>Intel</v>
      </c>
      <c r="C519" s="343"/>
      <c r="D519" s="346"/>
      <c r="E519" s="167"/>
      <c r="F519" s="160"/>
      <c r="G519" s="345"/>
      <c r="H519" s="31"/>
      <c r="I519" s="38"/>
      <c r="J519" s="345"/>
    </row>
    <row r="520" spans="1:10">
      <c r="A520" s="6" t="s">
        <v>4</v>
      </c>
      <c r="B520" s="342" t="str">
        <f>VLOOKUP(A520,Fleet[],2,FALSE)</f>
        <v>Intel</v>
      </c>
      <c r="C520" s="343"/>
      <c r="D520" s="346"/>
      <c r="E520" s="167"/>
      <c r="F520" s="160"/>
      <c r="G520" s="345"/>
      <c r="H520" s="31"/>
      <c r="I520" s="38"/>
      <c r="J520" s="345"/>
    </row>
    <row r="521" spans="1:10">
      <c r="A521" s="6" t="s">
        <v>7</v>
      </c>
      <c r="B521" s="342" t="str">
        <f>VLOOKUP(A521,Fleet[],2,FALSE)</f>
        <v>Intel</v>
      </c>
      <c r="C521" s="343"/>
      <c r="D521" s="346"/>
      <c r="E521" s="167"/>
      <c r="F521" s="160"/>
      <c r="G521" s="345"/>
      <c r="H521" s="31"/>
      <c r="I521" s="38"/>
      <c r="J521" s="345"/>
    </row>
    <row r="522" spans="1:10">
      <c r="A522" s="6" t="s">
        <v>4</v>
      </c>
      <c r="B522" s="342" t="str">
        <f>VLOOKUP(A522,Fleet[],2,FALSE)</f>
        <v>Intel</v>
      </c>
      <c r="C522" s="343"/>
      <c r="D522" s="346"/>
      <c r="E522" s="167"/>
      <c r="F522" s="160"/>
      <c r="G522" s="345"/>
      <c r="H522" s="31"/>
      <c r="I522" s="38"/>
      <c r="J522" s="345"/>
    </row>
    <row r="523" spans="1:10">
      <c r="A523" s="6" t="s">
        <v>7</v>
      </c>
      <c r="B523" s="342" t="str">
        <f>VLOOKUP(A523,Fleet[],2,FALSE)</f>
        <v>Intel</v>
      </c>
      <c r="C523" s="343"/>
      <c r="D523" s="346"/>
      <c r="E523" s="167"/>
      <c r="F523" s="160"/>
      <c r="G523" s="345"/>
      <c r="H523" s="31"/>
      <c r="I523" s="38"/>
      <c r="J523" s="345"/>
    </row>
    <row r="524" spans="1:10">
      <c r="A524" s="6" t="s">
        <v>4</v>
      </c>
      <c r="B524" s="342" t="str">
        <f>VLOOKUP(A524,Fleet[],2,FALSE)</f>
        <v>Intel</v>
      </c>
      <c r="C524" s="343"/>
      <c r="D524" s="346"/>
      <c r="E524" s="167"/>
      <c r="F524" s="160"/>
      <c r="G524" s="345"/>
      <c r="H524" s="31"/>
      <c r="I524" s="38"/>
      <c r="J524" s="345"/>
    </row>
    <row r="525" spans="1:10">
      <c r="A525" s="6" t="s">
        <v>7</v>
      </c>
      <c r="B525" s="342" t="str">
        <f>VLOOKUP(A525,Fleet[],2,FALSE)</f>
        <v>Intel</v>
      </c>
      <c r="C525" s="343"/>
      <c r="D525" s="346"/>
      <c r="E525" s="167"/>
      <c r="F525" s="160"/>
      <c r="G525" s="345"/>
      <c r="H525" s="31"/>
      <c r="I525" s="38"/>
      <c r="J525" s="345"/>
    </row>
    <row r="526" spans="1:10">
      <c r="A526" s="6" t="s">
        <v>4</v>
      </c>
      <c r="B526" s="342" t="str">
        <f>VLOOKUP(A526,Fleet[],2,FALSE)</f>
        <v>Intel</v>
      </c>
      <c r="C526" s="343"/>
      <c r="D526" s="346"/>
      <c r="E526" s="167"/>
      <c r="F526" s="160"/>
      <c r="G526" s="345"/>
      <c r="H526" s="31"/>
      <c r="I526" s="38"/>
      <c r="J526" s="345"/>
    </row>
    <row r="527" spans="1:10">
      <c r="A527" s="6" t="s">
        <v>7</v>
      </c>
      <c r="B527" s="342" t="str">
        <f>VLOOKUP(A527,Fleet[],2,FALSE)</f>
        <v>Intel</v>
      </c>
      <c r="C527" s="343"/>
      <c r="D527" s="346"/>
      <c r="E527" s="167"/>
      <c r="F527" s="160"/>
      <c r="G527" s="345"/>
      <c r="H527" s="31"/>
      <c r="I527" s="38"/>
      <c r="J527" s="345"/>
    </row>
    <row r="528" spans="1:10">
      <c r="A528" s="6" t="s">
        <v>4</v>
      </c>
      <c r="B528" s="342" t="str">
        <f>VLOOKUP(A528,Fleet[],2,FALSE)</f>
        <v>Intel</v>
      </c>
      <c r="C528" s="343"/>
      <c r="D528" s="346"/>
      <c r="E528" s="167"/>
      <c r="F528" s="160"/>
      <c r="G528" s="345"/>
      <c r="H528" s="31"/>
      <c r="I528" s="38"/>
      <c r="J528" s="345"/>
    </row>
    <row r="529" spans="1:10">
      <c r="A529" s="6" t="s">
        <v>7</v>
      </c>
      <c r="B529" s="342" t="str">
        <f>VLOOKUP(A529,Fleet[],2,FALSE)</f>
        <v>Intel</v>
      </c>
      <c r="C529" s="343"/>
      <c r="D529" s="346"/>
      <c r="E529" s="167"/>
      <c r="F529" s="160"/>
      <c r="G529" s="345"/>
      <c r="H529" s="31"/>
      <c r="I529" s="38"/>
      <c r="J529" s="345"/>
    </row>
    <row r="530" spans="1:10">
      <c r="A530" s="6" t="s">
        <v>4</v>
      </c>
      <c r="B530" s="342" t="str">
        <f>VLOOKUP(A530,Fleet[],2,FALSE)</f>
        <v>Intel</v>
      </c>
      <c r="C530" s="343"/>
      <c r="D530" s="346"/>
      <c r="E530" s="167"/>
      <c r="F530" s="160"/>
      <c r="G530" s="345"/>
      <c r="H530" s="31"/>
      <c r="I530" s="38"/>
      <c r="J530" s="345"/>
    </row>
    <row r="531" spans="1:10">
      <c r="A531" s="6" t="s">
        <v>7</v>
      </c>
      <c r="B531" s="342" t="str">
        <f>VLOOKUP(A531,Fleet[],2,FALSE)</f>
        <v>Intel</v>
      </c>
      <c r="C531" s="343"/>
      <c r="D531" s="346"/>
      <c r="E531" s="167"/>
      <c r="F531" s="160"/>
      <c r="G531" s="345"/>
      <c r="H531" s="31"/>
      <c r="I531" s="38"/>
      <c r="J531" s="345"/>
    </row>
    <row r="532" spans="1:10">
      <c r="A532" s="6" t="s">
        <v>4</v>
      </c>
      <c r="B532" s="342" t="str">
        <f>VLOOKUP(A532,Fleet[],2,FALSE)</f>
        <v>Intel</v>
      </c>
      <c r="C532" s="343"/>
      <c r="D532" s="346"/>
      <c r="E532" s="167"/>
      <c r="F532" s="160"/>
      <c r="G532" s="345"/>
      <c r="H532" s="31"/>
      <c r="I532" s="38"/>
      <c r="J532" s="345"/>
    </row>
    <row r="533" spans="1:10">
      <c r="A533" s="6" t="s">
        <v>7</v>
      </c>
      <c r="B533" s="342" t="str">
        <f>VLOOKUP(A533,Fleet[],2,FALSE)</f>
        <v>Intel</v>
      </c>
      <c r="C533" s="343"/>
      <c r="D533" s="346"/>
      <c r="E533" s="167"/>
      <c r="F533" s="160"/>
      <c r="G533" s="345"/>
      <c r="H533" s="31"/>
      <c r="I533" s="38"/>
      <c r="J533" s="345"/>
    </row>
    <row r="534" spans="1:10">
      <c r="A534" s="6" t="s">
        <v>4</v>
      </c>
      <c r="B534" s="342" t="str">
        <f>VLOOKUP(A534,Fleet[],2,FALSE)</f>
        <v>Intel</v>
      </c>
      <c r="C534" s="343"/>
      <c r="D534" s="346"/>
      <c r="E534" s="167"/>
      <c r="F534" s="160"/>
      <c r="G534" s="345"/>
      <c r="H534" s="31"/>
      <c r="I534" s="38"/>
      <c r="J534" s="345"/>
    </row>
    <row r="535" spans="1:10">
      <c r="A535" s="6" t="s">
        <v>7</v>
      </c>
      <c r="B535" s="342" t="str">
        <f>VLOOKUP(A535,Fleet[],2,FALSE)</f>
        <v>Intel</v>
      </c>
      <c r="C535" s="343"/>
      <c r="D535" s="346"/>
      <c r="E535" s="167"/>
      <c r="F535" s="160"/>
      <c r="G535" s="345"/>
      <c r="H535" s="31"/>
      <c r="I535" s="38"/>
      <c r="J535" s="345"/>
    </row>
    <row r="536" spans="1:10">
      <c r="A536" s="6" t="s">
        <v>4</v>
      </c>
      <c r="B536" s="342" t="str">
        <f>VLOOKUP(A536,Fleet[],2,FALSE)</f>
        <v>Intel</v>
      </c>
      <c r="C536" s="343"/>
      <c r="D536" s="346"/>
      <c r="E536" s="167"/>
      <c r="F536" s="160"/>
      <c r="G536" s="345"/>
      <c r="H536" s="31"/>
      <c r="I536" s="38"/>
      <c r="J536" s="345"/>
    </row>
    <row r="537" spans="1:10">
      <c r="A537" s="6" t="s">
        <v>7</v>
      </c>
      <c r="B537" s="342" t="str">
        <f>VLOOKUP(A537,Fleet[],2,FALSE)</f>
        <v>Intel</v>
      </c>
      <c r="C537" s="343"/>
      <c r="D537" s="346"/>
      <c r="E537" s="167"/>
      <c r="F537" s="160"/>
      <c r="G537" s="345"/>
      <c r="H537" s="31"/>
      <c r="I537" s="38"/>
      <c r="J537" s="345"/>
    </row>
    <row r="538" spans="1:10">
      <c r="A538" s="6" t="s">
        <v>4</v>
      </c>
      <c r="B538" s="342" t="str">
        <f>VLOOKUP(A538,Fleet[],2,FALSE)</f>
        <v>Intel</v>
      </c>
      <c r="C538" s="343"/>
      <c r="D538" s="346"/>
      <c r="E538" s="167"/>
      <c r="F538" s="344"/>
      <c r="G538" s="345"/>
      <c r="H538" s="31"/>
      <c r="I538" s="38"/>
      <c r="J538" s="345"/>
    </row>
    <row r="539" spans="1:10">
      <c r="A539" s="6" t="s">
        <v>7</v>
      </c>
      <c r="B539" s="342" t="str">
        <f>VLOOKUP(A539,Fleet[],2,FALSE)</f>
        <v>Intel</v>
      </c>
      <c r="C539" s="343"/>
      <c r="D539" s="346"/>
      <c r="E539" s="167"/>
      <c r="F539" s="344"/>
      <c r="G539" s="345"/>
      <c r="H539" s="31"/>
      <c r="I539" s="38"/>
      <c r="J539" s="345"/>
    </row>
    <row r="540" spans="1:10">
      <c r="A540" s="6" t="s">
        <v>4</v>
      </c>
      <c r="B540" s="342" t="str">
        <f>VLOOKUP(A540,Fleet[],2,FALSE)</f>
        <v>Intel</v>
      </c>
      <c r="C540" s="343"/>
      <c r="D540" s="346"/>
      <c r="E540" s="167"/>
      <c r="F540" s="344"/>
      <c r="G540" s="345"/>
      <c r="H540" s="31"/>
      <c r="I540" s="38"/>
      <c r="J540" s="345"/>
    </row>
    <row r="541" spans="1:10">
      <c r="A541" s="6" t="s">
        <v>7</v>
      </c>
      <c r="B541" s="342" t="str">
        <f>VLOOKUP(A541,Fleet[],2,FALSE)</f>
        <v>Intel</v>
      </c>
      <c r="C541" s="343"/>
      <c r="D541" s="346"/>
      <c r="E541" s="167"/>
      <c r="F541" s="344"/>
      <c r="G541" s="345"/>
      <c r="H541" s="31"/>
      <c r="I541" s="38"/>
      <c r="J541" s="345"/>
    </row>
    <row r="542" spans="1:10">
      <c r="A542" s="6" t="s">
        <v>4</v>
      </c>
      <c r="B542" s="342" t="str">
        <f>VLOOKUP(A542,Fleet[],2,FALSE)</f>
        <v>Intel</v>
      </c>
      <c r="C542" s="343"/>
      <c r="D542" s="346"/>
      <c r="E542" s="167"/>
      <c r="F542" s="344"/>
      <c r="G542" s="345"/>
      <c r="H542" s="31"/>
      <c r="I542" s="38"/>
      <c r="J542" s="345"/>
    </row>
    <row r="543" spans="1:10">
      <c r="A543" s="6" t="s">
        <v>7</v>
      </c>
      <c r="B543" s="342" t="str">
        <f>VLOOKUP(A543,Fleet[],2,FALSE)</f>
        <v>Intel</v>
      </c>
      <c r="C543" s="343"/>
      <c r="D543" s="346"/>
      <c r="E543" s="167"/>
      <c r="F543" s="344"/>
      <c r="G543" s="345"/>
      <c r="H543" s="31"/>
      <c r="I543" s="38"/>
      <c r="J543" s="345"/>
    </row>
    <row r="544" spans="1:10">
      <c r="A544" s="6" t="s">
        <v>4</v>
      </c>
      <c r="B544" s="342" t="str">
        <f>VLOOKUP(A544,Fleet[],2,FALSE)</f>
        <v>Intel</v>
      </c>
      <c r="C544" s="343"/>
      <c r="D544" s="346"/>
      <c r="E544" s="167"/>
      <c r="F544" s="344"/>
      <c r="G544" s="345"/>
      <c r="H544" s="31"/>
      <c r="I544" s="38"/>
      <c r="J544" s="345"/>
    </row>
    <row r="545" spans="1:10">
      <c r="A545" s="6" t="s">
        <v>7</v>
      </c>
      <c r="B545" s="342" t="str">
        <f>VLOOKUP(A545,Fleet[],2,FALSE)</f>
        <v>Intel</v>
      </c>
      <c r="C545" s="343"/>
      <c r="D545" s="346"/>
      <c r="E545" s="167"/>
      <c r="F545" s="344"/>
      <c r="G545" s="345"/>
      <c r="H545" s="31"/>
      <c r="I545" s="38"/>
      <c r="J545" s="345"/>
    </row>
    <row r="546" spans="1:10">
      <c r="A546" s="6" t="s">
        <v>4</v>
      </c>
      <c r="B546" s="342" t="str">
        <f>VLOOKUP(A546,Fleet[],2,FALSE)</f>
        <v>Intel</v>
      </c>
      <c r="C546" s="343"/>
      <c r="D546" s="346"/>
      <c r="E546" s="167"/>
      <c r="F546" s="344"/>
      <c r="G546" s="345"/>
      <c r="H546" s="31"/>
      <c r="I546" s="38"/>
      <c r="J546" s="345"/>
    </row>
    <row r="547" spans="1:10">
      <c r="A547" s="6" t="s">
        <v>7</v>
      </c>
      <c r="B547" s="342" t="str">
        <f>VLOOKUP(A547,Fleet[],2,FALSE)</f>
        <v>Intel</v>
      </c>
      <c r="C547" s="343"/>
      <c r="D547" s="346"/>
      <c r="E547" s="167"/>
      <c r="F547" s="344"/>
      <c r="G547" s="345"/>
      <c r="H547" s="31"/>
      <c r="I547" s="38"/>
      <c r="J547" s="345"/>
    </row>
    <row r="548" spans="1:10">
      <c r="A548" s="6" t="s">
        <v>4</v>
      </c>
      <c r="B548" s="342" t="str">
        <f>VLOOKUP(A548,Fleet[],2,FALSE)</f>
        <v>Intel</v>
      </c>
      <c r="C548" s="343"/>
      <c r="D548" s="346"/>
      <c r="E548" s="167"/>
      <c r="F548" s="344"/>
      <c r="G548" s="345"/>
      <c r="H548" s="31"/>
      <c r="I548" s="38"/>
      <c r="J548" s="345"/>
    </row>
    <row r="549" spans="1:10">
      <c r="A549" s="6" t="s">
        <v>7</v>
      </c>
      <c r="B549" s="342" t="str">
        <f>VLOOKUP(A549,Fleet[],2,FALSE)</f>
        <v>Intel</v>
      </c>
      <c r="C549" s="343"/>
      <c r="D549" s="346"/>
      <c r="E549" s="167"/>
      <c r="F549" s="344"/>
      <c r="G549" s="345"/>
      <c r="H549" s="31"/>
      <c r="I549" s="38"/>
      <c r="J549" s="345"/>
    </row>
    <row r="550" spans="1:10">
      <c r="A550" s="6" t="s">
        <v>4</v>
      </c>
      <c r="B550" s="342" t="str">
        <f>VLOOKUP(A550,Fleet[],2,FALSE)</f>
        <v>Intel</v>
      </c>
      <c r="C550" s="343"/>
      <c r="D550" s="346"/>
      <c r="E550" s="167"/>
      <c r="F550" s="344"/>
      <c r="G550" s="345"/>
      <c r="H550" s="31"/>
      <c r="I550" s="38"/>
      <c r="J550" s="345"/>
    </row>
    <row r="551" spans="1:10">
      <c r="A551" s="6" t="s">
        <v>7</v>
      </c>
      <c r="B551" s="342" t="str">
        <f>VLOOKUP(A551,Fleet[],2,FALSE)</f>
        <v>Intel</v>
      </c>
      <c r="C551" s="343"/>
      <c r="D551" s="346"/>
      <c r="E551" s="167"/>
      <c r="F551" s="344"/>
      <c r="G551" s="345"/>
      <c r="H551" s="31"/>
      <c r="I551" s="38"/>
      <c r="J551" s="345"/>
    </row>
    <row r="552" spans="1:10">
      <c r="A552" s="6" t="s">
        <v>4</v>
      </c>
      <c r="B552" s="342" t="str">
        <f>VLOOKUP(A552,Fleet[],2,FALSE)</f>
        <v>Intel</v>
      </c>
      <c r="C552" s="343"/>
      <c r="D552" s="346"/>
      <c r="E552" s="167"/>
      <c r="F552" s="344"/>
      <c r="G552" s="345"/>
      <c r="H552" s="31"/>
      <c r="I552" s="38"/>
      <c r="J552" s="345"/>
    </row>
    <row r="553" spans="1:10">
      <c r="A553" s="6" t="s">
        <v>7</v>
      </c>
      <c r="B553" s="342" t="str">
        <f>VLOOKUP(A553,Fleet[],2,FALSE)</f>
        <v>Intel</v>
      </c>
      <c r="C553" s="343"/>
      <c r="D553" s="346"/>
      <c r="E553" s="167"/>
      <c r="F553" s="344"/>
      <c r="G553" s="345"/>
      <c r="H553" s="31"/>
      <c r="I553" s="38"/>
      <c r="J553" s="345"/>
    </row>
    <row r="554" spans="1:10">
      <c r="A554" s="6" t="s">
        <v>4</v>
      </c>
      <c r="B554" s="342" t="str">
        <f>VLOOKUP(A554,Fleet[],2,FALSE)</f>
        <v>Intel</v>
      </c>
      <c r="C554" s="343"/>
      <c r="D554" s="346"/>
      <c r="E554" s="167"/>
      <c r="F554" s="344"/>
      <c r="G554" s="345"/>
      <c r="H554" s="31"/>
      <c r="I554" s="38"/>
      <c r="J554" s="345"/>
    </row>
    <row r="555" spans="1:10">
      <c r="A555" s="6" t="s">
        <v>7</v>
      </c>
      <c r="B555" s="342" t="str">
        <f>VLOOKUP(A555,Fleet[],2,FALSE)</f>
        <v>Intel</v>
      </c>
      <c r="C555" s="343"/>
      <c r="D555" s="346"/>
      <c r="E555" s="167"/>
      <c r="F555" s="344"/>
      <c r="G555" s="345"/>
      <c r="H555" s="31"/>
      <c r="I555" s="38"/>
      <c r="J555" s="345"/>
    </row>
    <row r="556" spans="1:10">
      <c r="A556" s="6" t="s">
        <v>4</v>
      </c>
      <c r="B556" s="342" t="str">
        <f>VLOOKUP(A556,Fleet[],2,FALSE)</f>
        <v>Intel</v>
      </c>
      <c r="C556" s="343"/>
      <c r="D556" s="346"/>
      <c r="E556" s="167"/>
      <c r="F556" s="344"/>
      <c r="G556" s="345"/>
      <c r="H556" s="31"/>
      <c r="I556" s="38"/>
      <c r="J556" s="345"/>
    </row>
    <row r="557" spans="1:10">
      <c r="A557" s="6" t="s">
        <v>7</v>
      </c>
      <c r="B557" s="342" t="str">
        <f>VLOOKUP(A557,Fleet[],2,FALSE)</f>
        <v>Intel</v>
      </c>
      <c r="C557" s="343"/>
      <c r="D557" s="346"/>
      <c r="E557" s="167"/>
      <c r="F557" s="344"/>
      <c r="G557" s="345"/>
      <c r="H557" s="31"/>
      <c r="I557" s="38"/>
      <c r="J557" s="345"/>
    </row>
    <row r="558" spans="1:10">
      <c r="A558" s="6" t="s">
        <v>4</v>
      </c>
      <c r="B558" s="342" t="str">
        <f>VLOOKUP(A558,Fleet[],2,FALSE)</f>
        <v>Intel</v>
      </c>
      <c r="C558" s="343"/>
      <c r="D558" s="346"/>
      <c r="E558" s="167"/>
      <c r="F558" s="344"/>
      <c r="G558" s="345"/>
      <c r="H558" s="31"/>
      <c r="I558" s="38"/>
      <c r="J558" s="345"/>
    </row>
    <row r="559" spans="1:10">
      <c r="A559" s="6" t="s">
        <v>7</v>
      </c>
      <c r="B559" s="342" t="str">
        <f>VLOOKUP(A559,Fleet[],2,FALSE)</f>
        <v>Intel</v>
      </c>
      <c r="C559" s="343"/>
      <c r="D559" s="346"/>
      <c r="E559" s="167"/>
      <c r="F559" s="344"/>
      <c r="G559" s="345"/>
      <c r="H559" s="31"/>
      <c r="I559" s="38"/>
      <c r="J559" s="345"/>
    </row>
    <row r="560" spans="1:10">
      <c r="A560" s="6" t="s">
        <v>4</v>
      </c>
      <c r="B560" s="342" t="str">
        <f>VLOOKUP(A560,Fleet[],2,FALSE)</f>
        <v>Intel</v>
      </c>
      <c r="C560" s="343"/>
      <c r="D560" s="346"/>
      <c r="E560" s="167"/>
      <c r="F560" s="344"/>
      <c r="G560" s="345"/>
      <c r="H560" s="31"/>
      <c r="I560" s="38"/>
      <c r="J560" s="345"/>
    </row>
    <row r="561" spans="1:10">
      <c r="A561" s="6" t="s">
        <v>7</v>
      </c>
      <c r="B561" s="342" t="str">
        <f>VLOOKUP(A561,Fleet[],2,FALSE)</f>
        <v>Intel</v>
      </c>
      <c r="C561" s="343"/>
      <c r="D561" s="346"/>
      <c r="E561" s="167"/>
      <c r="F561" s="344"/>
      <c r="G561" s="345"/>
      <c r="H561" s="31"/>
      <c r="I561" s="38"/>
      <c r="J561" s="345"/>
    </row>
    <row r="562" spans="1:10">
      <c r="A562" s="6" t="s">
        <v>4</v>
      </c>
      <c r="B562" s="342" t="str">
        <f>VLOOKUP(A562,Fleet[],2,FALSE)</f>
        <v>Intel</v>
      </c>
      <c r="C562" s="343"/>
      <c r="D562" s="346"/>
      <c r="E562" s="167"/>
      <c r="F562" s="344"/>
      <c r="G562" s="345"/>
      <c r="H562" s="31"/>
      <c r="I562" s="38"/>
      <c r="J562" s="345"/>
    </row>
    <row r="563" spans="1:10">
      <c r="A563" s="6" t="s">
        <v>7</v>
      </c>
      <c r="B563" s="342" t="str">
        <f>VLOOKUP(A563,Fleet[],2,FALSE)</f>
        <v>Intel</v>
      </c>
      <c r="C563" s="343"/>
      <c r="D563" s="346"/>
      <c r="E563" s="167"/>
      <c r="F563" s="344"/>
      <c r="G563" s="345"/>
      <c r="H563" s="31"/>
      <c r="I563" s="38"/>
      <c r="J563" s="345"/>
    </row>
    <row r="564" spans="1:10">
      <c r="A564" s="6" t="s">
        <v>4</v>
      </c>
      <c r="B564" s="342" t="str">
        <f>VLOOKUP(A564,Fleet[],2,FALSE)</f>
        <v>Intel</v>
      </c>
      <c r="C564" s="343"/>
      <c r="D564" s="346"/>
      <c r="E564" s="167"/>
      <c r="F564" s="344"/>
      <c r="G564" s="345"/>
      <c r="H564" s="31"/>
      <c r="I564" s="38"/>
      <c r="J564" s="345"/>
    </row>
    <row r="565" spans="1:10">
      <c r="A565" s="6" t="s">
        <v>7</v>
      </c>
      <c r="B565" s="342" t="str">
        <f>VLOOKUP(A565,Fleet[],2,FALSE)</f>
        <v>Intel</v>
      </c>
      <c r="C565" s="343"/>
      <c r="D565" s="346"/>
      <c r="E565" s="167"/>
      <c r="F565" s="344"/>
      <c r="G565" s="345"/>
      <c r="H565" s="31"/>
      <c r="I565" s="38"/>
      <c r="J565" s="345"/>
    </row>
    <row r="566" spans="1:10">
      <c r="A566" s="6" t="s">
        <v>4</v>
      </c>
      <c r="B566" s="342" t="str">
        <f>VLOOKUP(A566,Fleet[],2,FALSE)</f>
        <v>Intel</v>
      </c>
      <c r="C566" s="343"/>
      <c r="D566" s="346"/>
      <c r="E566" s="167"/>
      <c r="F566" s="344"/>
      <c r="G566" s="345"/>
      <c r="H566" s="31"/>
      <c r="I566" s="38"/>
      <c r="J566" s="345"/>
    </row>
    <row r="567" spans="1:10">
      <c r="A567" s="6" t="s">
        <v>7</v>
      </c>
      <c r="B567" s="342" t="str">
        <f>VLOOKUP(A567,Fleet[],2,FALSE)</f>
        <v>Intel</v>
      </c>
      <c r="C567" s="343"/>
      <c r="D567" s="346"/>
      <c r="E567" s="167"/>
      <c r="F567" s="344"/>
      <c r="G567" s="345"/>
      <c r="H567" s="31"/>
      <c r="I567" s="38"/>
      <c r="J567" s="345"/>
    </row>
    <row r="568" spans="1:10">
      <c r="A568" s="6" t="s">
        <v>4</v>
      </c>
      <c r="B568" s="342" t="str">
        <f>VLOOKUP(A568,Fleet[],2,FALSE)</f>
        <v>Intel</v>
      </c>
      <c r="C568" s="343"/>
      <c r="D568" s="346"/>
      <c r="E568" s="167"/>
      <c r="F568" s="344"/>
      <c r="G568" s="345"/>
      <c r="H568" s="31"/>
      <c r="I568" s="38"/>
      <c r="J568" s="345"/>
    </row>
    <row r="569" spans="1:10">
      <c r="A569" s="6" t="s">
        <v>7</v>
      </c>
      <c r="B569" s="342" t="str">
        <f>VLOOKUP(A569,Fleet[],2,FALSE)</f>
        <v>Intel</v>
      </c>
      <c r="C569" s="343"/>
      <c r="D569" s="346"/>
      <c r="E569" s="167"/>
      <c r="F569" s="344"/>
      <c r="G569" s="345"/>
      <c r="H569" s="31"/>
      <c r="I569" s="38"/>
      <c r="J569" s="345"/>
    </row>
    <row r="570" spans="1:10">
      <c r="A570" s="6" t="s">
        <v>4</v>
      </c>
      <c r="B570" s="342" t="str">
        <f>VLOOKUP(A570,Fleet[],2,FALSE)</f>
        <v>Intel</v>
      </c>
      <c r="C570" s="343"/>
      <c r="D570" s="346"/>
      <c r="E570" s="167"/>
      <c r="F570" s="344"/>
      <c r="G570" s="345"/>
      <c r="H570" s="31"/>
      <c r="I570" s="38"/>
      <c r="J570" s="345"/>
    </row>
    <row r="571" spans="1:10">
      <c r="A571" s="6" t="s">
        <v>7</v>
      </c>
      <c r="B571" s="342" t="str">
        <f>VLOOKUP(A571,Fleet[],2,FALSE)</f>
        <v>Intel</v>
      </c>
      <c r="C571" s="343"/>
      <c r="D571" s="346"/>
      <c r="E571" s="167"/>
      <c r="F571" s="344"/>
      <c r="G571" s="345"/>
      <c r="H571" s="31"/>
      <c r="I571" s="38"/>
      <c r="J571" s="345"/>
    </row>
    <row r="572" spans="1:10">
      <c r="A572" s="6" t="s">
        <v>4</v>
      </c>
      <c r="B572" s="342" t="str">
        <f>VLOOKUP(A572,Fleet[],2,FALSE)</f>
        <v>Intel</v>
      </c>
      <c r="C572" s="343"/>
      <c r="D572" s="346"/>
      <c r="E572" s="167"/>
      <c r="F572" s="344"/>
      <c r="G572" s="345"/>
      <c r="H572" s="31"/>
      <c r="I572" s="38"/>
      <c r="J572" s="345"/>
    </row>
    <row r="573" spans="1:10">
      <c r="A573" s="6" t="s">
        <v>7</v>
      </c>
      <c r="B573" s="342" t="str">
        <f>VLOOKUP(A573,Fleet[],2,FALSE)</f>
        <v>Intel</v>
      </c>
      <c r="C573" s="343"/>
      <c r="D573" s="346"/>
      <c r="E573" s="167"/>
      <c r="F573" s="344"/>
      <c r="G573" s="345"/>
      <c r="H573" s="31"/>
      <c r="I573" s="38"/>
      <c r="J573" s="345"/>
    </row>
    <row r="574" spans="1:10">
      <c r="A574" s="6" t="s">
        <v>4</v>
      </c>
      <c r="B574" s="342" t="str">
        <f>VLOOKUP(A574,Fleet[],2,FALSE)</f>
        <v>Intel</v>
      </c>
      <c r="C574" s="343"/>
      <c r="D574" s="346"/>
      <c r="E574" s="167"/>
      <c r="F574" s="344"/>
      <c r="G574" s="345"/>
      <c r="H574" s="31"/>
      <c r="I574" s="38"/>
      <c r="J574" s="345"/>
    </row>
    <row r="575" spans="1:10">
      <c r="A575" s="6" t="s">
        <v>7</v>
      </c>
      <c r="B575" s="342" t="str">
        <f>VLOOKUP(A575,Fleet[],2,FALSE)</f>
        <v>Intel</v>
      </c>
      <c r="C575" s="343"/>
      <c r="D575" s="346"/>
      <c r="E575" s="167"/>
      <c r="F575" s="344"/>
      <c r="G575" s="345"/>
      <c r="H575" s="31"/>
      <c r="I575" s="38"/>
      <c r="J575" s="345"/>
    </row>
    <row r="576" spans="1:10">
      <c r="A576" s="6" t="s">
        <v>4</v>
      </c>
      <c r="B576" s="342" t="str">
        <f>VLOOKUP(A576,Fleet[],2,FALSE)</f>
        <v>Intel</v>
      </c>
      <c r="C576" s="343"/>
      <c r="D576" s="346"/>
      <c r="E576" s="167"/>
      <c r="F576" s="344"/>
      <c r="G576" s="345"/>
      <c r="H576" s="31"/>
      <c r="I576" s="38"/>
      <c r="J576" s="345"/>
    </row>
    <row r="577" spans="1:10">
      <c r="A577" s="6" t="s">
        <v>7</v>
      </c>
      <c r="B577" s="342" t="str">
        <f>VLOOKUP(A577,Fleet[],2,FALSE)</f>
        <v>Intel</v>
      </c>
      <c r="C577" s="343"/>
      <c r="D577" s="346"/>
      <c r="E577" s="167"/>
      <c r="F577" s="344"/>
      <c r="G577" s="345"/>
      <c r="H577" s="31"/>
      <c r="I577" s="38"/>
      <c r="J577" s="345"/>
    </row>
    <row r="578" spans="1:10">
      <c r="A578" s="6" t="s">
        <v>4</v>
      </c>
      <c r="B578" s="342" t="str">
        <f>VLOOKUP(A578,Fleet[],2,FALSE)</f>
        <v>Intel</v>
      </c>
      <c r="C578" s="343"/>
      <c r="D578" s="346"/>
      <c r="E578" s="167"/>
      <c r="F578" s="344"/>
      <c r="G578" s="345"/>
      <c r="H578" s="31"/>
      <c r="I578" s="38"/>
      <c r="J578" s="345"/>
    </row>
    <row r="579" spans="1:10">
      <c r="A579" s="6" t="s">
        <v>7</v>
      </c>
      <c r="B579" s="342" t="str">
        <f>VLOOKUP(A579,Fleet[],2,FALSE)</f>
        <v>Intel</v>
      </c>
      <c r="C579" s="343"/>
      <c r="D579" s="346"/>
      <c r="E579" s="167"/>
      <c r="F579" s="344"/>
      <c r="G579" s="345"/>
      <c r="H579" s="31"/>
      <c r="I579" s="38"/>
      <c r="J579" s="345"/>
    </row>
    <row r="580" spans="1:10">
      <c r="A580" s="6" t="s">
        <v>4</v>
      </c>
      <c r="B580" s="342" t="str">
        <f>VLOOKUP(A580,Fleet[],2,FALSE)</f>
        <v>Intel</v>
      </c>
      <c r="C580" s="343"/>
      <c r="D580" s="346"/>
      <c r="E580" s="167"/>
      <c r="F580" s="344"/>
      <c r="G580" s="345"/>
      <c r="H580" s="31"/>
      <c r="I580" s="38"/>
      <c r="J580" s="345"/>
    </row>
    <row r="581" spans="1:10">
      <c r="A581" s="6" t="s">
        <v>7</v>
      </c>
      <c r="B581" s="342" t="str">
        <f>VLOOKUP(A581,Fleet[],2,FALSE)</f>
        <v>Intel</v>
      </c>
      <c r="C581" s="343"/>
      <c r="D581" s="346"/>
      <c r="E581" s="167"/>
      <c r="F581" s="344"/>
      <c r="G581" s="345"/>
      <c r="H581" s="31"/>
      <c r="I581" s="38"/>
      <c r="J581" s="345"/>
    </row>
    <row r="582" spans="1:10">
      <c r="A582" s="6" t="s">
        <v>4</v>
      </c>
      <c r="B582" s="342" t="str">
        <f>VLOOKUP(A582,Fleet[],2,FALSE)</f>
        <v>Intel</v>
      </c>
      <c r="C582" s="343"/>
      <c r="D582" s="346"/>
      <c r="E582" s="167"/>
      <c r="F582" s="344"/>
      <c r="G582" s="345"/>
      <c r="H582" s="31"/>
      <c r="I582" s="38"/>
      <c r="J582" s="345"/>
    </row>
    <row r="583" spans="1:10">
      <c r="A583" s="6" t="s">
        <v>7</v>
      </c>
      <c r="B583" s="342" t="str">
        <f>VLOOKUP(A583,Fleet[],2,FALSE)</f>
        <v>Intel</v>
      </c>
      <c r="C583" s="343"/>
      <c r="D583" s="346"/>
      <c r="E583" s="167"/>
      <c r="F583" s="344"/>
      <c r="G583" s="345"/>
      <c r="H583" s="31"/>
      <c r="I583" s="38"/>
      <c r="J583" s="345"/>
    </row>
    <row r="584" spans="1:10">
      <c r="A584" s="6" t="s">
        <v>4</v>
      </c>
      <c r="B584" s="342" t="str">
        <f>VLOOKUP(A584,Fleet[],2,FALSE)</f>
        <v>Intel</v>
      </c>
      <c r="C584" s="343"/>
      <c r="D584" s="346"/>
      <c r="E584" s="167"/>
      <c r="F584" s="344"/>
      <c r="G584" s="345"/>
      <c r="H584" s="31"/>
      <c r="I584" s="38"/>
      <c r="J584" s="345"/>
    </row>
    <row r="585" spans="1:10">
      <c r="A585" s="6" t="s">
        <v>7</v>
      </c>
      <c r="B585" s="342" t="str">
        <f>VLOOKUP(A585,Fleet[],2,FALSE)</f>
        <v>Intel</v>
      </c>
      <c r="C585" s="343"/>
      <c r="D585" s="346"/>
      <c r="E585" s="167"/>
      <c r="F585" s="344"/>
      <c r="G585" s="345"/>
      <c r="H585" s="31"/>
      <c r="I585" s="38"/>
      <c r="J585" s="345"/>
    </row>
    <row r="586" spans="1:10">
      <c r="A586" s="6" t="s">
        <v>4</v>
      </c>
      <c r="B586" s="342" t="str">
        <f>VLOOKUP(A586,Fleet[],2,FALSE)</f>
        <v>Intel</v>
      </c>
      <c r="C586" s="343"/>
      <c r="D586" s="346"/>
      <c r="E586" s="167"/>
      <c r="F586" s="344"/>
      <c r="G586" s="345"/>
      <c r="H586" s="31"/>
      <c r="I586" s="38"/>
      <c r="J586" s="345"/>
    </row>
    <row r="587" spans="1:10">
      <c r="A587" s="6" t="s">
        <v>7</v>
      </c>
      <c r="B587" s="342" t="str">
        <f>VLOOKUP(A587,Fleet[],2,FALSE)</f>
        <v>Intel</v>
      </c>
      <c r="C587" s="343"/>
      <c r="D587" s="346"/>
      <c r="E587" s="167"/>
      <c r="F587" s="344"/>
      <c r="G587" s="345"/>
      <c r="H587" s="31"/>
      <c r="I587" s="38"/>
      <c r="J587" s="345"/>
    </row>
    <row r="588" spans="1:10">
      <c r="A588" s="6" t="s">
        <v>4</v>
      </c>
      <c r="B588" s="342" t="str">
        <f>VLOOKUP(A588,Fleet[],2,FALSE)</f>
        <v>Intel</v>
      </c>
      <c r="C588" s="343"/>
      <c r="D588" s="346"/>
      <c r="E588" s="167"/>
      <c r="F588" s="344"/>
      <c r="G588" s="345"/>
      <c r="H588" s="31"/>
      <c r="I588" s="38"/>
      <c r="J588" s="345"/>
    </row>
    <row r="589" spans="1:10">
      <c r="A589" s="6" t="s">
        <v>7</v>
      </c>
      <c r="B589" s="342" t="str">
        <f>VLOOKUP(A589,Fleet[],2,FALSE)</f>
        <v>Intel</v>
      </c>
      <c r="C589" s="343"/>
      <c r="D589" s="346"/>
      <c r="E589" s="167"/>
      <c r="F589" s="344"/>
      <c r="G589" s="345"/>
      <c r="H589" s="31"/>
      <c r="I589" s="38"/>
      <c r="J589" s="345"/>
    </row>
    <row r="590" spans="1:10">
      <c r="A590" s="6" t="s">
        <v>4</v>
      </c>
      <c r="B590" s="342" t="str">
        <f>VLOOKUP(A590,Fleet[],2,FALSE)</f>
        <v>Intel</v>
      </c>
      <c r="C590" s="343"/>
      <c r="D590" s="346"/>
      <c r="E590" s="167"/>
      <c r="F590" s="344"/>
      <c r="G590" s="345"/>
      <c r="H590" s="31"/>
      <c r="I590" s="38"/>
      <c r="J590" s="345"/>
    </row>
    <row r="591" spans="1:10">
      <c r="A591" s="6" t="s">
        <v>7</v>
      </c>
      <c r="B591" s="342" t="str">
        <f>VLOOKUP(A591,Fleet[],2,FALSE)</f>
        <v>Intel</v>
      </c>
      <c r="C591" s="343"/>
      <c r="D591" s="346"/>
      <c r="E591" s="167"/>
      <c r="F591" s="344"/>
      <c r="G591" s="345"/>
      <c r="H591" s="31"/>
      <c r="I591" s="38"/>
      <c r="J591" s="345"/>
    </row>
    <row r="592" spans="1:10">
      <c r="A592" s="6" t="s">
        <v>4</v>
      </c>
      <c r="B592" s="342" t="str">
        <f>VLOOKUP(A592,Fleet[],2,FALSE)</f>
        <v>Intel</v>
      </c>
      <c r="C592" s="343"/>
      <c r="D592" s="346"/>
      <c r="E592" s="167"/>
      <c r="F592" s="344"/>
      <c r="G592" s="345"/>
      <c r="H592" s="31"/>
      <c r="I592" s="38"/>
      <c r="J592" s="345"/>
    </row>
    <row r="593" spans="1:10">
      <c r="A593" s="6" t="s">
        <v>7</v>
      </c>
      <c r="B593" s="342" t="str">
        <f>VLOOKUP(A593,Fleet[],2,FALSE)</f>
        <v>Intel</v>
      </c>
      <c r="C593" s="343"/>
      <c r="D593" s="346"/>
      <c r="E593" s="164"/>
      <c r="F593" s="344"/>
      <c r="G593" s="38"/>
      <c r="H593" s="31"/>
      <c r="I593" s="38"/>
      <c r="J593" s="345"/>
    </row>
  </sheetData>
  <mergeCells count="21">
    <mergeCell ref="P27:Q27"/>
    <mergeCell ref="L27:M27"/>
    <mergeCell ref="N27:O27"/>
    <mergeCell ref="K2:M2"/>
    <mergeCell ref="O2:Q2"/>
    <mergeCell ref="S2:U2"/>
    <mergeCell ref="O3:Q3"/>
    <mergeCell ref="O4:Q4"/>
    <mergeCell ref="K3:M3"/>
    <mergeCell ref="K4:M4"/>
    <mergeCell ref="S3:U3"/>
    <mergeCell ref="S4:U4"/>
    <mergeCell ref="S5:S10"/>
    <mergeCell ref="S11:S16"/>
    <mergeCell ref="S17:S22"/>
    <mergeCell ref="O5:O10"/>
    <mergeCell ref="K5:K10"/>
    <mergeCell ref="K11:K16"/>
    <mergeCell ref="K17:K22"/>
    <mergeCell ref="O11:O16"/>
    <mergeCell ref="O17:O22"/>
  </mergeCells>
  <phoneticPr fontId="2" type="noConversion"/>
  <pageMargins left="0.7" right="0.7" top="0.75" bottom="0.75" header="0.3" footer="0.3"/>
  <pageSetup paperSize="9" orientation="portrait" r:id="rId1"/>
  <tableParts count="2">
    <tablePart r:id="rId2"/>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22FC2-B7DC-4B00-A814-0BE96953565F}">
  <sheetPr codeName="Sheet5"/>
  <dimension ref="A1:B38"/>
  <sheetViews>
    <sheetView workbookViewId="0">
      <selection activeCell="T27" sqref="T27"/>
    </sheetView>
  </sheetViews>
  <sheetFormatPr defaultRowHeight="15"/>
  <cols>
    <col min="2" max="2" width="11.140625" bestFit="1" customWidth="1"/>
  </cols>
  <sheetData>
    <row r="1" spans="1:2">
      <c r="A1" s="49" t="s">
        <v>90</v>
      </c>
      <c r="B1" s="49" t="s">
        <v>91</v>
      </c>
    </row>
    <row r="2" spans="1:2">
      <c r="A2" t="s">
        <v>92</v>
      </c>
      <c r="B2" t="s">
        <v>93</v>
      </c>
    </row>
    <row r="3" spans="1:2">
      <c r="A3" t="s">
        <v>94</v>
      </c>
      <c r="B3" t="s">
        <v>93</v>
      </c>
    </row>
    <row r="4" spans="1:2">
      <c r="A4" t="s">
        <v>95</v>
      </c>
      <c r="B4" t="s">
        <v>96</v>
      </c>
    </row>
    <row r="5" spans="1:2">
      <c r="A5" t="s">
        <v>97</v>
      </c>
      <c r="B5" t="s">
        <v>96</v>
      </c>
    </row>
    <row r="6" spans="1:2">
      <c r="A6" t="s">
        <v>98</v>
      </c>
      <c r="B6" t="s">
        <v>99</v>
      </c>
    </row>
    <row r="7" spans="1:2">
      <c r="A7" t="s">
        <v>100</v>
      </c>
      <c r="B7" t="s">
        <v>99</v>
      </c>
    </row>
    <row r="8" spans="1:2">
      <c r="A8" t="s">
        <v>101</v>
      </c>
      <c r="B8" t="s">
        <v>99</v>
      </c>
    </row>
    <row r="9" spans="1:2">
      <c r="A9" t="s">
        <v>102</v>
      </c>
      <c r="B9" t="s">
        <v>103</v>
      </c>
    </row>
    <row r="10" spans="1:2">
      <c r="A10" t="s">
        <v>104</v>
      </c>
      <c r="B10" t="s">
        <v>103</v>
      </c>
    </row>
    <row r="11" spans="1:2">
      <c r="A11" t="s">
        <v>105</v>
      </c>
      <c r="B11" t="s">
        <v>106</v>
      </c>
    </row>
    <row r="12" spans="1:2">
      <c r="A12" t="s">
        <v>107</v>
      </c>
      <c r="B12" t="s">
        <v>106</v>
      </c>
    </row>
    <row r="13" spans="1:2">
      <c r="A13" t="s">
        <v>108</v>
      </c>
      <c r="B13" t="s">
        <v>109</v>
      </c>
    </row>
    <row r="14" spans="1:2">
      <c r="A14" t="s">
        <v>110</v>
      </c>
      <c r="B14" t="s">
        <v>111</v>
      </c>
    </row>
    <row r="15" spans="1:2">
      <c r="A15" t="s">
        <v>112</v>
      </c>
      <c r="B15" t="s">
        <v>111</v>
      </c>
    </row>
    <row r="16" spans="1:2">
      <c r="A16" t="s">
        <v>113</v>
      </c>
      <c r="B16" t="s">
        <v>111</v>
      </c>
    </row>
    <row r="17" spans="1:2">
      <c r="A17" t="s">
        <v>114</v>
      </c>
      <c r="B17" t="s">
        <v>111</v>
      </c>
    </row>
    <row r="18" spans="1:2">
      <c r="A18" t="s">
        <v>115</v>
      </c>
      <c r="B18" t="s">
        <v>111</v>
      </c>
    </row>
    <row r="19" spans="1:2">
      <c r="A19" t="s">
        <v>116</v>
      </c>
      <c r="B19" t="s">
        <v>111</v>
      </c>
    </row>
    <row r="20" spans="1:2">
      <c r="A20" t="s">
        <v>117</v>
      </c>
      <c r="B20" t="s">
        <v>111</v>
      </c>
    </row>
    <row r="21" spans="1:2">
      <c r="A21" t="s">
        <v>118</v>
      </c>
      <c r="B21" t="s">
        <v>119</v>
      </c>
    </row>
    <row r="22" spans="1:2">
      <c r="A22" t="s">
        <v>120</v>
      </c>
      <c r="B22" t="s">
        <v>111</v>
      </c>
    </row>
    <row r="23" spans="1:2">
      <c r="A23" t="s">
        <v>121</v>
      </c>
      <c r="B23" t="s">
        <v>111</v>
      </c>
    </row>
    <row r="24" spans="1:2">
      <c r="A24" t="s">
        <v>122</v>
      </c>
      <c r="B24" t="s">
        <v>111</v>
      </c>
    </row>
    <row r="25" spans="1:2">
      <c r="A25" t="s">
        <v>123</v>
      </c>
      <c r="B25" t="s">
        <v>119</v>
      </c>
    </row>
    <row r="26" spans="1:2">
      <c r="A26" t="s">
        <v>124</v>
      </c>
      <c r="B26" t="s">
        <v>125</v>
      </c>
    </row>
    <row r="27" spans="1:2">
      <c r="A27" t="s">
        <v>126</v>
      </c>
      <c r="B27" t="s">
        <v>125</v>
      </c>
    </row>
    <row r="28" spans="1:2">
      <c r="A28" t="s">
        <v>127</v>
      </c>
      <c r="B28" t="s">
        <v>125</v>
      </c>
    </row>
    <row r="29" spans="1:2">
      <c r="A29" t="s">
        <v>128</v>
      </c>
      <c r="B29" t="s">
        <v>125</v>
      </c>
    </row>
    <row r="30" spans="1:2">
      <c r="A30" t="s">
        <v>129</v>
      </c>
      <c r="B30" t="s">
        <v>125</v>
      </c>
    </row>
    <row r="31" spans="1:2">
      <c r="A31" t="s">
        <v>130</v>
      </c>
      <c r="B31" t="s">
        <v>131</v>
      </c>
    </row>
    <row r="32" spans="1:2">
      <c r="A32" t="s">
        <v>132</v>
      </c>
      <c r="B32" t="s">
        <v>106</v>
      </c>
    </row>
    <row r="33" spans="1:2">
      <c r="A33" t="s">
        <v>133</v>
      </c>
      <c r="B33" t="s">
        <v>125</v>
      </c>
    </row>
    <row r="34" spans="1:2">
      <c r="A34" t="s">
        <v>134</v>
      </c>
    </row>
    <row r="35" spans="1:2">
      <c r="A35" t="s">
        <v>135</v>
      </c>
    </row>
    <row r="36" spans="1:2">
      <c r="A36" t="s">
        <v>136</v>
      </c>
    </row>
    <row r="37" spans="1:2">
      <c r="A37" t="s">
        <v>137</v>
      </c>
    </row>
    <row r="38" spans="1:2">
      <c r="A38" t="s">
        <v>138</v>
      </c>
    </row>
  </sheetData>
  <autoFilter ref="A1:B38" xr:uid="{CDD22FC2-B7DC-4B00-A814-0BE96953565F}">
    <sortState xmlns:xlrd2="http://schemas.microsoft.com/office/spreadsheetml/2017/richdata2" ref="A2:B38">
      <sortCondition ref="B1:B30"/>
    </sortState>
  </autoFilter>
  <phoneticPr fontId="2" type="noConversion"/>
  <conditionalFormatting sqref="A1:A1048576">
    <cfRule type="duplicateValues" dxfId="63" priority="1"/>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88F0D-C641-4F79-81CC-DFAD98493CAF}">
  <sheetPr codeName="Sheet4"/>
  <dimension ref="A1:I58"/>
  <sheetViews>
    <sheetView topLeftCell="A4" workbookViewId="0">
      <selection activeCell="C15" sqref="C15"/>
    </sheetView>
  </sheetViews>
  <sheetFormatPr defaultRowHeight="15"/>
  <cols>
    <col min="1" max="1" width="24.85546875" customWidth="1"/>
    <col min="2" max="2" width="15.85546875" bestFit="1" customWidth="1"/>
    <col min="5" max="5" width="12.85546875" customWidth="1"/>
    <col min="6" max="6" width="15.140625" customWidth="1"/>
    <col min="7" max="7" width="14.42578125" customWidth="1"/>
  </cols>
  <sheetData>
    <row r="1" spans="1:9">
      <c r="A1" s="112" t="s">
        <v>139</v>
      </c>
      <c r="B1" s="112" t="s">
        <v>140</v>
      </c>
    </row>
    <row r="2" spans="1:9">
      <c r="A2" s="1" t="s">
        <v>141</v>
      </c>
      <c r="B2" s="3" t="s">
        <v>142</v>
      </c>
    </row>
    <row r="3" spans="1:9">
      <c r="A3" s="1" t="s">
        <v>143</v>
      </c>
      <c r="B3" s="28">
        <v>1777.61</v>
      </c>
    </row>
    <row r="4" spans="1:9">
      <c r="A4" s="1" t="s">
        <v>144</v>
      </c>
      <c r="B4" s="28">
        <v>4543.1000000000004</v>
      </c>
    </row>
    <row r="5" spans="1:9">
      <c r="A5" s="1" t="s">
        <v>145</v>
      </c>
      <c r="B5" s="3">
        <v>57</v>
      </c>
    </row>
    <row r="6" spans="1:9">
      <c r="A6" s="1" t="s">
        <v>146</v>
      </c>
      <c r="B6" s="3">
        <v>162.43</v>
      </c>
    </row>
    <row r="7" spans="1:9">
      <c r="A7" s="1" t="s">
        <v>147</v>
      </c>
      <c r="B7" s="3">
        <v>3204.75</v>
      </c>
    </row>
    <row r="10" spans="1:9" ht="24" customHeight="1">
      <c r="A10" s="531" t="s">
        <v>148</v>
      </c>
      <c r="B10" s="531"/>
      <c r="C10" s="531"/>
      <c r="D10" s="531"/>
      <c r="E10" s="531"/>
      <c r="F10" s="531"/>
      <c r="G10" s="531"/>
      <c r="H10" s="531"/>
      <c r="I10" s="531"/>
    </row>
    <row r="11" spans="1:9" ht="45">
      <c r="A11" s="113" t="s">
        <v>149</v>
      </c>
      <c r="B11" s="114" t="s">
        <v>150</v>
      </c>
      <c r="C11" s="113" t="s">
        <v>151</v>
      </c>
      <c r="D11" s="114" t="s">
        <v>152</v>
      </c>
      <c r="E11" s="114" t="s">
        <v>153</v>
      </c>
      <c r="F11" s="114" t="s">
        <v>154</v>
      </c>
      <c r="G11" s="114" t="s">
        <v>155</v>
      </c>
      <c r="H11" s="114" t="s">
        <v>156</v>
      </c>
      <c r="I11" s="114" t="s">
        <v>157</v>
      </c>
    </row>
    <row r="12" spans="1:9">
      <c r="A12" s="75" t="s">
        <v>158</v>
      </c>
      <c r="B12" s="115">
        <f>H12/C12</f>
        <v>2.8496491228070178</v>
      </c>
      <c r="C12" s="75">
        <f>B5</f>
        <v>57</v>
      </c>
      <c r="D12" s="75">
        <f>C12</f>
        <v>57</v>
      </c>
      <c r="E12" s="115">
        <f>$B$3/D12</f>
        <v>31.186140350877192</v>
      </c>
      <c r="F12" s="7"/>
      <c r="G12" s="115">
        <f>(C12/$B$4)*168</f>
        <v>2.1078118465365057</v>
      </c>
      <c r="H12" s="115">
        <f>B6</f>
        <v>162.43</v>
      </c>
      <c r="I12" s="120">
        <f>H12/$B$4</f>
        <v>3.5753120116220199E-2</v>
      </c>
    </row>
    <row r="13" spans="1:9">
      <c r="A13" s="75" t="s">
        <v>159</v>
      </c>
      <c r="B13" s="75">
        <f>H13/C13</f>
        <v>15.81</v>
      </c>
      <c r="C13" s="118">
        <v>4</v>
      </c>
      <c r="D13" s="118">
        <f>D12-C13</f>
        <v>53</v>
      </c>
      <c r="E13" s="115">
        <f>$B$3/D13</f>
        <v>33.539811320754715</v>
      </c>
      <c r="F13" s="115">
        <f t="shared" ref="F13:F43" si="0">$E$44*(C13/$C$44)</f>
        <v>122.55606032625423</v>
      </c>
      <c r="G13" s="115">
        <f>(C13/$B$4)*168</f>
        <v>0.14791662080957935</v>
      </c>
      <c r="H13" s="115">
        <v>63.24</v>
      </c>
      <c r="I13" s="120">
        <f>H13/$B$4</f>
        <v>1.3920010565472915E-2</v>
      </c>
    </row>
    <row r="14" spans="1:9">
      <c r="A14" s="75" t="s">
        <v>160</v>
      </c>
      <c r="B14" s="75">
        <f>H14/C14</f>
        <v>0.64500000000000002</v>
      </c>
      <c r="C14" s="118">
        <v>4</v>
      </c>
      <c r="D14" s="118">
        <f>D13-C14</f>
        <v>49</v>
      </c>
      <c r="E14" s="115">
        <f>$B$3/D14</f>
        <v>36.277755102040814</v>
      </c>
      <c r="F14" s="115">
        <f t="shared" si="0"/>
        <v>122.55606032625423</v>
      </c>
      <c r="G14" s="115">
        <f>(C14/$B$4)*168</f>
        <v>0.14791662080957935</v>
      </c>
      <c r="H14" s="75">
        <v>2.58</v>
      </c>
      <c r="I14" s="120">
        <f>H14/$B$4</f>
        <v>5.6789416917963503E-4</v>
      </c>
    </row>
    <row r="15" spans="1:9">
      <c r="A15" s="1" t="s">
        <v>161</v>
      </c>
      <c r="B15" s="115">
        <f t="shared" ref="B15:B43" si="1">H15/C15</f>
        <v>1.2433333333333334</v>
      </c>
      <c r="C15" s="27">
        <v>6</v>
      </c>
      <c r="D15" s="118">
        <f t="shared" ref="D15:D37" si="2">D14-C15</f>
        <v>43</v>
      </c>
      <c r="E15" s="28">
        <f>$B$3/D15</f>
        <v>41.339767441860459</v>
      </c>
      <c r="F15" s="28">
        <f t="shared" si="0"/>
        <v>183.83409048938134</v>
      </c>
      <c r="G15" s="115">
        <f t="shared" ref="G15:G43" si="3">(C15/$B$4)*168</f>
        <v>0.22187493121436902</v>
      </c>
      <c r="H15" s="115">
        <v>7.4600000000000009</v>
      </c>
      <c r="I15" s="120">
        <f t="shared" ref="I15:I43" si="4">H15/$B$4</f>
        <v>1.6420505822015805E-3</v>
      </c>
    </row>
    <row r="16" spans="1:9">
      <c r="A16" s="1" t="s">
        <v>162</v>
      </c>
      <c r="B16" s="115">
        <f t="shared" si="1"/>
        <v>1.7899999999999998</v>
      </c>
      <c r="C16" s="27">
        <v>3</v>
      </c>
      <c r="D16" s="118">
        <f t="shared" si="2"/>
        <v>40</v>
      </c>
      <c r="E16" s="28">
        <f t="shared" ref="E16:E42" si="5">$B$3/D16</f>
        <v>44.440249999999999</v>
      </c>
      <c r="F16" s="28">
        <f t="shared" si="0"/>
        <v>91.917045244690669</v>
      </c>
      <c r="G16" s="115">
        <f t="shared" si="3"/>
        <v>0.11093746560718451</v>
      </c>
      <c r="H16" s="115">
        <v>5.3699999999999992</v>
      </c>
      <c r="I16" s="120">
        <f t="shared" si="4"/>
        <v>1.1820122823622634E-3</v>
      </c>
    </row>
    <row r="17" spans="1:9">
      <c r="A17" s="1" t="s">
        <v>163</v>
      </c>
      <c r="B17" s="115">
        <f t="shared" si="1"/>
        <v>1.3500000000000003</v>
      </c>
      <c r="C17" s="27">
        <v>3</v>
      </c>
      <c r="D17" s="118">
        <f t="shared" si="2"/>
        <v>37</v>
      </c>
      <c r="E17" s="28">
        <f t="shared" si="5"/>
        <v>48.04351351351351</v>
      </c>
      <c r="F17" s="28">
        <f t="shared" si="0"/>
        <v>91.917045244690669</v>
      </c>
      <c r="G17" s="115">
        <f t="shared" si="3"/>
        <v>0.11093746560718451</v>
      </c>
      <c r="H17" s="115">
        <v>4.0500000000000007</v>
      </c>
      <c r="I17" s="120">
        <f t="shared" si="4"/>
        <v>8.9146177720058999E-4</v>
      </c>
    </row>
    <row r="18" spans="1:9">
      <c r="A18" s="1" t="s">
        <v>164</v>
      </c>
      <c r="B18" s="115">
        <f t="shared" si="1"/>
        <v>1.75</v>
      </c>
      <c r="C18" s="27">
        <v>3</v>
      </c>
      <c r="D18" s="118">
        <f t="shared" si="2"/>
        <v>34</v>
      </c>
      <c r="E18" s="28">
        <f t="shared" si="5"/>
        <v>52.282647058823528</v>
      </c>
      <c r="F18" s="28">
        <f t="shared" si="0"/>
        <v>91.917045244690669</v>
      </c>
      <c r="G18" s="115">
        <f t="shared" si="3"/>
        <v>0.11093746560718451</v>
      </c>
      <c r="H18" s="115">
        <v>5.25</v>
      </c>
      <c r="I18" s="120">
        <f t="shared" si="4"/>
        <v>1.1555986000748386E-3</v>
      </c>
    </row>
    <row r="19" spans="1:9">
      <c r="A19" s="1" t="s">
        <v>165</v>
      </c>
      <c r="B19" s="115">
        <f t="shared" si="1"/>
        <v>3.9466666666666668</v>
      </c>
      <c r="C19" s="27">
        <v>3</v>
      </c>
      <c r="D19" s="118">
        <f t="shared" si="2"/>
        <v>31</v>
      </c>
      <c r="E19" s="28">
        <f t="shared" si="5"/>
        <v>57.342258064516123</v>
      </c>
      <c r="F19" s="28">
        <f t="shared" si="0"/>
        <v>91.917045244690669</v>
      </c>
      <c r="G19" s="115">
        <f t="shared" si="3"/>
        <v>0.11093746560718451</v>
      </c>
      <c r="H19" s="115">
        <v>11.84</v>
      </c>
      <c r="I19" s="120">
        <f t="shared" si="4"/>
        <v>2.6061499856925886E-3</v>
      </c>
    </row>
    <row r="20" spans="1:9">
      <c r="A20" s="1" t="s">
        <v>166</v>
      </c>
      <c r="B20" s="115">
        <f t="shared" si="1"/>
        <v>1.1100000000000001</v>
      </c>
      <c r="C20" s="27">
        <v>2</v>
      </c>
      <c r="D20" s="118">
        <f t="shared" si="2"/>
        <v>29</v>
      </c>
      <c r="E20" s="28">
        <f t="shared" si="5"/>
        <v>61.296896551724132</v>
      </c>
      <c r="F20" s="28">
        <f t="shared" si="0"/>
        <v>61.278030163127113</v>
      </c>
      <c r="G20" s="115">
        <f t="shared" si="3"/>
        <v>7.3958310404789673E-2</v>
      </c>
      <c r="H20" s="115">
        <v>2.2200000000000002</v>
      </c>
      <c r="I20" s="120">
        <f t="shared" si="4"/>
        <v>4.8865312231736037E-4</v>
      </c>
    </row>
    <row r="21" spans="1:9">
      <c r="A21" s="1" t="s">
        <v>167</v>
      </c>
      <c r="B21" s="115">
        <f t="shared" si="1"/>
        <v>2.35</v>
      </c>
      <c r="C21" s="27">
        <v>2</v>
      </c>
      <c r="D21" s="118">
        <f t="shared" si="2"/>
        <v>27</v>
      </c>
      <c r="E21" s="28">
        <f t="shared" si="5"/>
        <v>65.837407407407397</v>
      </c>
      <c r="F21" s="28">
        <f t="shared" si="0"/>
        <v>61.278030163127113</v>
      </c>
      <c r="G21" s="115">
        <f t="shared" si="3"/>
        <v>7.3958310404789673E-2</v>
      </c>
      <c r="H21" s="115">
        <v>4.7</v>
      </c>
      <c r="I21" s="120">
        <f t="shared" si="4"/>
        <v>1.034535889590808E-3</v>
      </c>
    </row>
    <row r="22" spans="1:9">
      <c r="A22" s="1" t="s">
        <v>168</v>
      </c>
      <c r="B22" s="115">
        <f t="shared" si="1"/>
        <v>1.75</v>
      </c>
      <c r="C22" s="27">
        <v>2</v>
      </c>
      <c r="D22" s="118">
        <f t="shared" si="2"/>
        <v>25</v>
      </c>
      <c r="E22" s="28">
        <f t="shared" si="5"/>
        <v>71.104399999999998</v>
      </c>
      <c r="F22" s="28">
        <f t="shared" si="0"/>
        <v>61.278030163127113</v>
      </c>
      <c r="G22" s="115">
        <f t="shared" si="3"/>
        <v>7.3958310404789673E-2</v>
      </c>
      <c r="H22" s="115">
        <v>3.5</v>
      </c>
      <c r="I22" s="120">
        <f t="shared" si="4"/>
        <v>7.703990667165591E-4</v>
      </c>
    </row>
    <row r="23" spans="1:9">
      <c r="A23" s="1" t="s">
        <v>169</v>
      </c>
      <c r="B23" s="115">
        <f t="shared" si="1"/>
        <v>1.5349999999999999</v>
      </c>
      <c r="C23" s="27">
        <v>2</v>
      </c>
      <c r="D23" s="118">
        <f t="shared" si="2"/>
        <v>23</v>
      </c>
      <c r="E23" s="28">
        <f t="shared" si="5"/>
        <v>77.287391304347821</v>
      </c>
      <c r="F23" s="28">
        <f t="shared" si="0"/>
        <v>61.278030163127113</v>
      </c>
      <c r="G23" s="115">
        <f t="shared" si="3"/>
        <v>7.3958310404789673E-2</v>
      </c>
      <c r="H23" s="115">
        <v>3.07</v>
      </c>
      <c r="I23" s="120">
        <f t="shared" si="4"/>
        <v>6.757500385199532E-4</v>
      </c>
    </row>
    <row r="24" spans="1:9">
      <c r="A24" s="1" t="s">
        <v>170</v>
      </c>
      <c r="B24" s="115">
        <f t="shared" si="1"/>
        <v>1.1499999999999999</v>
      </c>
      <c r="C24" s="27">
        <v>2</v>
      </c>
      <c r="D24" s="118">
        <f t="shared" si="2"/>
        <v>21</v>
      </c>
      <c r="E24" s="28">
        <f t="shared" si="5"/>
        <v>84.648095238095237</v>
      </c>
      <c r="F24" s="28">
        <f t="shared" si="0"/>
        <v>61.278030163127113</v>
      </c>
      <c r="G24" s="115">
        <f t="shared" si="3"/>
        <v>7.3958310404789673E-2</v>
      </c>
      <c r="H24" s="115">
        <v>2.2999999999999998</v>
      </c>
      <c r="I24" s="120">
        <f t="shared" si="4"/>
        <v>5.0626224384231022E-4</v>
      </c>
    </row>
    <row r="25" spans="1:9">
      <c r="A25" s="1" t="s">
        <v>171</v>
      </c>
      <c r="B25" s="115">
        <f t="shared" si="1"/>
        <v>1.335</v>
      </c>
      <c r="C25" s="27">
        <v>2</v>
      </c>
      <c r="D25" s="118">
        <f t="shared" si="2"/>
        <v>19</v>
      </c>
      <c r="E25" s="28">
        <f t="shared" si="5"/>
        <v>93.558421052631573</v>
      </c>
      <c r="F25" s="28">
        <f t="shared" si="0"/>
        <v>61.278030163127113</v>
      </c>
      <c r="G25" s="115">
        <f t="shared" si="3"/>
        <v>7.3958310404789673E-2</v>
      </c>
      <c r="H25" s="115">
        <v>2.67</v>
      </c>
      <c r="I25" s="120">
        <f t="shared" si="4"/>
        <v>5.8770443089520362E-4</v>
      </c>
    </row>
    <row r="26" spans="1:9">
      <c r="A26" s="1" t="s">
        <v>172</v>
      </c>
      <c r="B26" s="115">
        <f t="shared" si="1"/>
        <v>3.6949999999999998</v>
      </c>
      <c r="C26" s="27">
        <v>2</v>
      </c>
      <c r="D26" s="118">
        <f t="shared" si="2"/>
        <v>17</v>
      </c>
      <c r="E26" s="28">
        <f t="shared" si="5"/>
        <v>104.56529411764706</v>
      </c>
      <c r="F26" s="28">
        <f t="shared" si="0"/>
        <v>61.278030163127113</v>
      </c>
      <c r="G26" s="115">
        <f t="shared" si="3"/>
        <v>7.3958310404789673E-2</v>
      </c>
      <c r="H26" s="115">
        <v>7.39</v>
      </c>
      <c r="I26" s="120">
        <f t="shared" si="4"/>
        <v>1.6266426008672489E-3</v>
      </c>
    </row>
    <row r="27" spans="1:9">
      <c r="A27" s="1" t="s">
        <v>173</v>
      </c>
      <c r="B27" s="115">
        <f t="shared" si="1"/>
        <v>1.05</v>
      </c>
      <c r="C27" s="27">
        <v>1</v>
      </c>
      <c r="D27" s="118">
        <f t="shared" si="2"/>
        <v>16</v>
      </c>
      <c r="E27" s="28">
        <f t="shared" si="5"/>
        <v>111.10062499999999</v>
      </c>
      <c r="F27" s="28">
        <f t="shared" si="0"/>
        <v>30.639015081563556</v>
      </c>
      <c r="G27" s="115">
        <f t="shared" si="3"/>
        <v>3.6979155202394837E-2</v>
      </c>
      <c r="H27" s="115">
        <v>1.05</v>
      </c>
      <c r="I27" s="120">
        <f t="shared" si="4"/>
        <v>2.3111972001496774E-4</v>
      </c>
    </row>
    <row r="28" spans="1:9">
      <c r="A28" s="1" t="s">
        <v>174</v>
      </c>
      <c r="B28" s="115">
        <f t="shared" si="1"/>
        <v>1.7</v>
      </c>
      <c r="C28" s="27">
        <v>1</v>
      </c>
      <c r="D28" s="118">
        <f t="shared" si="2"/>
        <v>15</v>
      </c>
      <c r="E28" s="28">
        <f t="shared" si="5"/>
        <v>118.50733333333332</v>
      </c>
      <c r="F28" s="28">
        <f t="shared" si="0"/>
        <v>30.639015081563556</v>
      </c>
      <c r="G28" s="115">
        <f t="shared" si="3"/>
        <v>3.6979155202394837E-2</v>
      </c>
      <c r="H28" s="115">
        <v>1.7</v>
      </c>
      <c r="I28" s="120">
        <f t="shared" si="4"/>
        <v>3.7419383240518584E-4</v>
      </c>
    </row>
    <row r="29" spans="1:9">
      <c r="A29" s="1" t="s">
        <v>175</v>
      </c>
      <c r="B29" s="115">
        <f t="shared" si="1"/>
        <v>0.5</v>
      </c>
      <c r="C29" s="27">
        <v>1</v>
      </c>
      <c r="D29" s="118">
        <f t="shared" si="2"/>
        <v>14</v>
      </c>
      <c r="E29" s="28">
        <f t="shared" si="5"/>
        <v>126.97214285714286</v>
      </c>
      <c r="F29" s="28">
        <f t="shared" si="0"/>
        <v>30.639015081563556</v>
      </c>
      <c r="G29" s="115">
        <f t="shared" si="3"/>
        <v>3.6979155202394837E-2</v>
      </c>
      <c r="H29" s="115">
        <v>0.5</v>
      </c>
      <c r="I29" s="120">
        <f t="shared" si="4"/>
        <v>1.1005700953093701E-4</v>
      </c>
    </row>
    <row r="30" spans="1:9">
      <c r="A30" s="1" t="s">
        <v>176</v>
      </c>
      <c r="B30" s="115">
        <f t="shared" si="1"/>
        <v>2.57</v>
      </c>
      <c r="C30" s="27">
        <v>1</v>
      </c>
      <c r="D30" s="118">
        <f t="shared" si="2"/>
        <v>13</v>
      </c>
      <c r="E30" s="28">
        <f t="shared" si="5"/>
        <v>136.73923076923077</v>
      </c>
      <c r="F30" s="28">
        <f t="shared" si="0"/>
        <v>30.639015081563556</v>
      </c>
      <c r="G30" s="115">
        <f t="shared" si="3"/>
        <v>3.6979155202394837E-2</v>
      </c>
      <c r="H30" s="115">
        <v>2.57</v>
      </c>
      <c r="I30" s="120">
        <f t="shared" si="4"/>
        <v>5.6569302898901619E-4</v>
      </c>
    </row>
    <row r="31" spans="1:9">
      <c r="A31" s="1" t="s">
        <v>177</v>
      </c>
      <c r="B31" s="115">
        <f t="shared" si="1"/>
        <v>3.22</v>
      </c>
      <c r="C31" s="27">
        <v>1</v>
      </c>
      <c r="D31" s="118">
        <f t="shared" si="2"/>
        <v>12</v>
      </c>
      <c r="E31" s="28">
        <f t="shared" si="5"/>
        <v>148.13416666666666</v>
      </c>
      <c r="F31" s="28">
        <f t="shared" si="0"/>
        <v>30.639015081563556</v>
      </c>
      <c r="G31" s="115">
        <f t="shared" si="3"/>
        <v>3.6979155202394837E-2</v>
      </c>
      <c r="H31" s="115">
        <v>3.22</v>
      </c>
      <c r="I31" s="120">
        <f t="shared" si="4"/>
        <v>7.087671413792344E-4</v>
      </c>
    </row>
    <row r="32" spans="1:9">
      <c r="A32" s="1" t="s">
        <v>178</v>
      </c>
      <c r="B32" s="115">
        <f t="shared" si="1"/>
        <v>0.92</v>
      </c>
      <c r="C32" s="27">
        <v>1</v>
      </c>
      <c r="D32" s="118">
        <f t="shared" si="2"/>
        <v>11</v>
      </c>
      <c r="E32" s="28">
        <f t="shared" si="5"/>
        <v>161.60090909090908</v>
      </c>
      <c r="F32" s="28">
        <f t="shared" si="0"/>
        <v>30.639015081563556</v>
      </c>
      <c r="G32" s="115">
        <f t="shared" si="3"/>
        <v>3.6979155202394837E-2</v>
      </c>
      <c r="H32" s="115">
        <v>0.92</v>
      </c>
      <c r="I32" s="120">
        <f t="shared" si="4"/>
        <v>2.0250489753692412E-4</v>
      </c>
    </row>
    <row r="33" spans="1:9">
      <c r="A33" s="1" t="s">
        <v>179</v>
      </c>
      <c r="B33" s="115">
        <f t="shared" si="1"/>
        <v>1.5</v>
      </c>
      <c r="C33" s="27">
        <v>1</v>
      </c>
      <c r="D33" s="118">
        <f t="shared" si="2"/>
        <v>10</v>
      </c>
      <c r="E33" s="28">
        <f t="shared" si="5"/>
        <v>177.761</v>
      </c>
      <c r="F33" s="28">
        <f t="shared" si="0"/>
        <v>30.639015081563556</v>
      </c>
      <c r="G33" s="115">
        <f t="shared" si="3"/>
        <v>3.6979155202394837E-2</v>
      </c>
      <c r="H33" s="115">
        <v>1.5</v>
      </c>
      <c r="I33" s="120">
        <f t="shared" si="4"/>
        <v>3.3017102859281104E-4</v>
      </c>
    </row>
    <row r="34" spans="1:9">
      <c r="A34" s="1" t="s">
        <v>180</v>
      </c>
      <c r="B34" s="115">
        <f t="shared" si="1"/>
        <v>1.72</v>
      </c>
      <c r="C34" s="27">
        <v>1</v>
      </c>
      <c r="D34" s="118">
        <f t="shared" si="2"/>
        <v>9</v>
      </c>
      <c r="E34" s="28">
        <f t="shared" si="5"/>
        <v>197.51222222222222</v>
      </c>
      <c r="F34" s="28">
        <f t="shared" si="0"/>
        <v>30.639015081563556</v>
      </c>
      <c r="G34" s="115">
        <f t="shared" si="3"/>
        <v>3.6979155202394837E-2</v>
      </c>
      <c r="H34" s="115">
        <v>1.72</v>
      </c>
      <c r="I34" s="120">
        <f t="shared" si="4"/>
        <v>3.7859611278642335E-4</v>
      </c>
    </row>
    <row r="35" spans="1:9">
      <c r="A35" s="1" t="s">
        <v>181</v>
      </c>
      <c r="B35" s="115">
        <f t="shared" si="1"/>
        <v>0.74</v>
      </c>
      <c r="C35" s="27">
        <v>1</v>
      </c>
      <c r="D35" s="118">
        <f t="shared" si="2"/>
        <v>8</v>
      </c>
      <c r="E35" s="28">
        <f t="shared" si="5"/>
        <v>222.20124999999999</v>
      </c>
      <c r="F35" s="28">
        <f t="shared" si="0"/>
        <v>30.639015081563556</v>
      </c>
      <c r="G35" s="115">
        <f t="shared" si="3"/>
        <v>3.6979155202394837E-2</v>
      </c>
      <c r="H35" s="115">
        <v>0.74</v>
      </c>
      <c r="I35" s="120">
        <f t="shared" si="4"/>
        <v>1.6288437410578679E-4</v>
      </c>
    </row>
    <row r="36" spans="1:9">
      <c r="A36" s="1" t="s">
        <v>182</v>
      </c>
      <c r="B36" s="115">
        <f t="shared" si="1"/>
        <v>1.58</v>
      </c>
      <c r="C36" s="27">
        <v>1</v>
      </c>
      <c r="D36" s="118">
        <f t="shared" si="2"/>
        <v>7</v>
      </c>
      <c r="E36" s="28">
        <f t="shared" si="5"/>
        <v>253.94428571428571</v>
      </c>
      <c r="F36" s="28">
        <f t="shared" si="0"/>
        <v>30.639015081563556</v>
      </c>
      <c r="G36" s="115">
        <f t="shared" si="3"/>
        <v>3.6979155202394837E-2</v>
      </c>
      <c r="H36" s="115">
        <v>1.58</v>
      </c>
      <c r="I36" s="120">
        <f t="shared" si="4"/>
        <v>3.47780150117761E-4</v>
      </c>
    </row>
    <row r="37" spans="1:9">
      <c r="A37" s="1" t="s">
        <v>183</v>
      </c>
      <c r="B37" s="115">
        <f t="shared" si="1"/>
        <v>0.38</v>
      </c>
      <c r="C37" s="27">
        <v>1</v>
      </c>
      <c r="D37" s="118">
        <f t="shared" si="2"/>
        <v>6</v>
      </c>
      <c r="E37" s="28">
        <f t="shared" si="5"/>
        <v>296.26833333333332</v>
      </c>
      <c r="F37" s="28">
        <f t="shared" si="0"/>
        <v>30.639015081563556</v>
      </c>
      <c r="G37" s="115">
        <f t="shared" si="3"/>
        <v>3.6979155202394837E-2</v>
      </c>
      <c r="H37" s="115">
        <v>0.38</v>
      </c>
      <c r="I37" s="120">
        <f t="shared" si="4"/>
        <v>8.364332724351214E-5</v>
      </c>
    </row>
    <row r="38" spans="1:9">
      <c r="A38" s="1" t="s">
        <v>184</v>
      </c>
      <c r="B38" s="115">
        <f t="shared" si="1"/>
        <v>0.28000000000000003</v>
      </c>
      <c r="C38" s="27">
        <v>1</v>
      </c>
      <c r="D38" s="118">
        <f t="shared" ref="D38:D43" si="6">D37-C38</f>
        <v>5</v>
      </c>
      <c r="E38" s="28">
        <f t="shared" si="5"/>
        <v>355.52199999999999</v>
      </c>
      <c r="F38" s="28">
        <f t="shared" si="0"/>
        <v>30.639015081563556</v>
      </c>
      <c r="G38" s="115">
        <f t="shared" si="3"/>
        <v>3.6979155202394837E-2</v>
      </c>
      <c r="H38" s="115">
        <v>0.28000000000000003</v>
      </c>
      <c r="I38" s="120">
        <f t="shared" si="4"/>
        <v>6.1631925337324729E-5</v>
      </c>
    </row>
    <row r="39" spans="1:9">
      <c r="A39" s="1" t="s">
        <v>185</v>
      </c>
      <c r="B39" s="115">
        <f t="shared" si="1"/>
        <v>0.5</v>
      </c>
      <c r="C39" s="27">
        <v>1</v>
      </c>
      <c r="D39" s="118">
        <f t="shared" si="6"/>
        <v>4</v>
      </c>
      <c r="E39" s="28">
        <f t="shared" si="5"/>
        <v>444.40249999999997</v>
      </c>
      <c r="F39" s="28">
        <f t="shared" si="0"/>
        <v>30.639015081563556</v>
      </c>
      <c r="G39" s="115">
        <f t="shared" si="3"/>
        <v>3.6979155202394837E-2</v>
      </c>
      <c r="H39" s="115">
        <v>0.5</v>
      </c>
      <c r="I39" s="120">
        <f t="shared" si="4"/>
        <v>1.1005700953093701E-4</v>
      </c>
    </row>
    <row r="40" spans="1:9">
      <c r="A40" s="1" t="s">
        <v>186</v>
      </c>
      <c r="B40" s="115">
        <f t="shared" si="1"/>
        <v>7.32</v>
      </c>
      <c r="C40" s="27">
        <v>1</v>
      </c>
      <c r="D40" s="118">
        <f t="shared" si="6"/>
        <v>3</v>
      </c>
      <c r="E40" s="28">
        <f t="shared" si="5"/>
        <v>592.53666666666663</v>
      </c>
      <c r="F40" s="28">
        <f t="shared" si="0"/>
        <v>30.639015081563556</v>
      </c>
      <c r="G40" s="115">
        <f t="shared" si="3"/>
        <v>3.6979155202394837E-2</v>
      </c>
      <c r="H40" s="115">
        <v>7.32</v>
      </c>
      <c r="I40" s="120">
        <f t="shared" si="4"/>
        <v>1.611234619532918E-3</v>
      </c>
    </row>
    <row r="41" spans="1:9">
      <c r="A41" s="1" t="s">
        <v>187</v>
      </c>
      <c r="B41" s="115">
        <f t="shared" si="1"/>
        <v>0.97</v>
      </c>
      <c r="C41" s="27">
        <v>1</v>
      </c>
      <c r="D41" s="118">
        <f t="shared" si="6"/>
        <v>2</v>
      </c>
      <c r="E41" s="28">
        <f t="shared" si="5"/>
        <v>888.80499999999995</v>
      </c>
      <c r="F41" s="28">
        <f t="shared" si="0"/>
        <v>30.639015081563556</v>
      </c>
      <c r="G41" s="115">
        <f t="shared" si="3"/>
        <v>3.6979155202394837E-2</v>
      </c>
      <c r="H41" s="115">
        <v>0.97</v>
      </c>
      <c r="I41" s="120">
        <f t="shared" si="4"/>
        <v>2.1351059849001781E-4</v>
      </c>
    </row>
    <row r="42" spans="1:9">
      <c r="A42" s="1" t="s">
        <v>188</v>
      </c>
      <c r="B42" s="115">
        <f t="shared" si="1"/>
        <v>4.05</v>
      </c>
      <c r="C42" s="27">
        <v>1</v>
      </c>
      <c r="D42" s="118">
        <f t="shared" si="6"/>
        <v>1</v>
      </c>
      <c r="E42" s="28">
        <f t="shared" si="5"/>
        <v>1777.61</v>
      </c>
      <c r="F42" s="28">
        <f t="shared" si="0"/>
        <v>30.639015081563556</v>
      </c>
      <c r="G42" s="115">
        <f t="shared" si="3"/>
        <v>3.6979155202394837E-2</v>
      </c>
      <c r="H42" s="115">
        <v>4.05</v>
      </c>
      <c r="I42" s="120">
        <f t="shared" si="4"/>
        <v>8.9146177720058977E-4</v>
      </c>
    </row>
    <row r="43" spans="1:9">
      <c r="A43" s="1" t="s">
        <v>189</v>
      </c>
      <c r="B43" s="115">
        <f t="shared" si="1"/>
        <v>2.08</v>
      </c>
      <c r="C43" s="27">
        <v>1</v>
      </c>
      <c r="D43" s="118">
        <f t="shared" si="6"/>
        <v>0</v>
      </c>
      <c r="E43" s="28">
        <f>B3</f>
        <v>1777.61</v>
      </c>
      <c r="F43" s="28">
        <f t="shared" si="0"/>
        <v>30.639015081563556</v>
      </c>
      <c r="G43" s="115">
        <f t="shared" si="3"/>
        <v>3.6979155202394837E-2</v>
      </c>
      <c r="H43" s="115">
        <v>2.08</v>
      </c>
      <c r="I43" s="120">
        <f t="shared" si="4"/>
        <v>4.5783715964869802E-4</v>
      </c>
    </row>
    <row r="44" spans="1:9">
      <c r="B44" s="119" t="s">
        <v>190</v>
      </c>
      <c r="C44" s="3">
        <f>SUM(C13:C43)</f>
        <v>57</v>
      </c>
      <c r="D44" s="3">
        <v>0</v>
      </c>
      <c r="E44" s="28">
        <f>E43-E12</f>
        <v>1746.4238596491227</v>
      </c>
      <c r="F44" s="28">
        <f>SUM(F13:F43)</f>
        <v>1746.4238596491214</v>
      </c>
      <c r="G44" s="116">
        <f>G12-SUM(G13:G43)</f>
        <v>0</v>
      </c>
      <c r="H44" s="115">
        <f>H12-SUM(H13:H43)</f>
        <v>5.710000000000008</v>
      </c>
      <c r="I44" s="117">
        <f>I12-SUM(I13:I43)</f>
        <v>1.2568510488433007E-3</v>
      </c>
    </row>
    <row r="48" spans="1:9">
      <c r="A48" t="s">
        <v>191</v>
      </c>
      <c r="B48">
        <v>2.11</v>
      </c>
    </row>
    <row r="49" spans="1:2">
      <c r="A49" t="s">
        <v>159</v>
      </c>
      <c r="B49">
        <v>-0.15</v>
      </c>
    </row>
    <row r="50" spans="1:2">
      <c r="A50" t="s">
        <v>160</v>
      </c>
      <c r="B50">
        <v>-0.15</v>
      </c>
    </row>
    <row r="51" spans="1:2">
      <c r="A51" t="s">
        <v>192</v>
      </c>
      <c r="B51">
        <f>SUM(B48:B50)</f>
        <v>1.81</v>
      </c>
    </row>
    <row r="52" spans="1:2">
      <c r="A52" t="s">
        <v>193</v>
      </c>
      <c r="B52">
        <v>-0.44</v>
      </c>
    </row>
    <row r="53" spans="1:2">
      <c r="A53" t="s">
        <v>194</v>
      </c>
      <c r="B53">
        <v>-0.44</v>
      </c>
    </row>
    <row r="54" spans="1:2">
      <c r="A54" t="s">
        <v>195</v>
      </c>
      <c r="B54">
        <f>SUM(B51:B53)</f>
        <v>0.93000000000000016</v>
      </c>
    </row>
    <row r="55" spans="1:2">
      <c r="A55" t="s">
        <v>196</v>
      </c>
      <c r="B55">
        <v>-0.81</v>
      </c>
    </row>
    <row r="56" spans="1:2">
      <c r="A56" t="s">
        <v>197</v>
      </c>
      <c r="B56">
        <f>SUM(B54:B55)</f>
        <v>0.12000000000000011</v>
      </c>
    </row>
    <row r="57" spans="1:2">
      <c r="A57" t="s">
        <v>198</v>
      </c>
      <c r="B57">
        <v>-0.12</v>
      </c>
    </row>
    <row r="58" spans="1:2">
      <c r="A58" t="s">
        <v>199</v>
      </c>
      <c r="B58">
        <v>0</v>
      </c>
    </row>
  </sheetData>
  <mergeCells count="1">
    <mergeCell ref="A10:I10"/>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27F8E-4512-43DF-8F29-9674B46F4A71}">
  <sheetPr codeName="Sheet6"/>
  <dimension ref="A1:AF180"/>
  <sheetViews>
    <sheetView tabSelected="1" zoomScale="69" zoomScaleNormal="85" workbookViewId="0">
      <selection activeCell="M181" sqref="M181"/>
    </sheetView>
  </sheetViews>
  <sheetFormatPr defaultColWidth="8.85546875" defaultRowHeight="14.25"/>
  <cols>
    <col min="1" max="1" width="16.42578125" style="289" bestFit="1" customWidth="1"/>
    <col min="2" max="2" width="14.42578125" style="289" bestFit="1" customWidth="1"/>
    <col min="3" max="3" width="14.5703125" style="289" customWidth="1"/>
    <col min="4" max="4" width="8.28515625" style="289" customWidth="1"/>
    <col min="5" max="5" width="6.7109375" style="289" customWidth="1"/>
    <col min="6" max="6" width="14.5703125" style="289" customWidth="1"/>
    <col min="7" max="7" width="14.28515625" style="319" bestFit="1" customWidth="1"/>
    <col min="8" max="8" width="16.140625" style="289" customWidth="1"/>
    <col min="9" max="9" width="71.140625" style="289" customWidth="1"/>
    <col min="10" max="10" width="15.5703125" style="289" hidden="1" customWidth="1"/>
    <col min="11" max="11" width="35.140625" style="289" customWidth="1"/>
    <col min="12" max="12" width="19.5703125" style="289" bestFit="1" customWidth="1"/>
    <col min="13" max="13" width="18.42578125" style="289" customWidth="1"/>
    <col min="14" max="14" width="16.42578125" style="466" bestFit="1" customWidth="1"/>
    <col min="15" max="15" width="21.85546875" style="289" customWidth="1"/>
    <col min="16" max="16" width="5" style="289" customWidth="1"/>
    <col min="17" max="17" width="7.42578125" style="289" customWidth="1"/>
    <col min="18" max="18" width="91" style="289" hidden="1" customWidth="1"/>
    <col min="19" max="19" width="83.5703125" style="289" hidden="1" customWidth="1"/>
    <col min="20" max="20" width="27.140625" style="289" customWidth="1"/>
    <col min="21" max="21" width="12.28515625" style="289" customWidth="1"/>
    <col min="22" max="22" width="10" style="289" customWidth="1"/>
    <col min="23" max="23" width="16" style="289" bestFit="1" customWidth="1"/>
    <col min="24" max="24" width="16.42578125" style="289" customWidth="1"/>
    <col min="25" max="25" width="14.140625" style="289" customWidth="1"/>
    <col min="26" max="26" width="184.140625" style="289" bestFit="1" customWidth="1"/>
    <col min="27" max="27" width="13.85546875" style="289" bestFit="1" customWidth="1"/>
    <col min="28" max="28" width="12.140625" style="289" customWidth="1"/>
    <col min="29" max="29" width="8.85546875" style="289"/>
    <col min="30" max="30" width="30.42578125" style="289" bestFit="1" customWidth="1"/>
    <col min="31" max="31" width="12.85546875" style="289" customWidth="1"/>
    <col min="32" max="16384" width="8.85546875" style="289"/>
  </cols>
  <sheetData>
    <row r="1" spans="1:32" ht="49.5" customHeight="1">
      <c r="A1" s="268" t="s">
        <v>0</v>
      </c>
      <c r="B1" s="269" t="s">
        <v>1</v>
      </c>
      <c r="C1" s="462" t="s">
        <v>2608</v>
      </c>
      <c r="D1" s="269" t="s">
        <v>63</v>
      </c>
      <c r="E1" s="269" t="s">
        <v>201</v>
      </c>
      <c r="F1" s="269" t="s">
        <v>202</v>
      </c>
      <c r="G1" s="270" t="s">
        <v>62</v>
      </c>
      <c r="H1" s="271" t="s">
        <v>203</v>
      </c>
      <c r="I1" s="272" t="s">
        <v>204</v>
      </c>
      <c r="J1" s="268" t="s">
        <v>205</v>
      </c>
      <c r="K1" s="269" t="s">
        <v>206</v>
      </c>
      <c r="L1" s="269" t="s">
        <v>90</v>
      </c>
      <c r="M1" s="269" t="s">
        <v>207</v>
      </c>
      <c r="N1" s="462" t="s">
        <v>208</v>
      </c>
      <c r="O1" s="269" t="s">
        <v>209</v>
      </c>
      <c r="P1" s="273" t="s">
        <v>210</v>
      </c>
      <c r="Q1" s="274" t="s">
        <v>211</v>
      </c>
      <c r="R1" s="274" t="s">
        <v>212</v>
      </c>
      <c r="S1" s="269" t="s">
        <v>213</v>
      </c>
      <c r="T1" s="269" t="s">
        <v>214</v>
      </c>
      <c r="U1" s="269" t="s">
        <v>215</v>
      </c>
      <c r="V1" s="275" t="s">
        <v>216</v>
      </c>
      <c r="W1" s="269" t="s">
        <v>217</v>
      </c>
      <c r="X1" s="269" t="s">
        <v>218</v>
      </c>
      <c r="Y1" s="269" t="s">
        <v>219</v>
      </c>
      <c r="Z1" s="269" t="s">
        <v>220</v>
      </c>
      <c r="AA1" s="269" t="s">
        <v>159</v>
      </c>
      <c r="AB1" s="269" t="s">
        <v>221</v>
      </c>
      <c r="AC1" s="269" t="s">
        <v>222</v>
      </c>
      <c r="AD1" s="276" t="s">
        <v>223</v>
      </c>
      <c r="AE1" s="276" t="s">
        <v>224</v>
      </c>
      <c r="AF1" s="276" t="s">
        <v>225</v>
      </c>
    </row>
    <row r="2" spans="1:32" ht="28.5">
      <c r="A2" s="369" t="s">
        <v>7</v>
      </c>
      <c r="B2" s="277" t="str">
        <f>VLOOKUP(A2,'5000_Fleet'!A:D,2,FALSE)</f>
        <v>Intel</v>
      </c>
      <c r="C2" s="289" t="s">
        <v>226</v>
      </c>
      <c r="D2" s="289">
        <f>YEAR(DATE(YEAR(Errorlog_table[[#This Row],[Date]]-WEEKDAY(Errorlog_table[[#This Row],[Date]]-1)+4),1,1)-MOD((DATE(YEAR(Errorlog_table[[#This Row],[Date]]-WEEKDAY(Errorlog_table[[#This Row],[Date]]-1)+4),1,1)-2),7)+(7*IF(MOD((DATE(YEAR(Errorlog_table[[#This Row],[Date]]-WEEKDAY(Errorlog_table[[#This Row],[Date]]-1)+4),1,1)-2),7)&gt;3,1,0))+7)</f>
        <v>2024</v>
      </c>
      <c r="E2" s="278">
        <f>VALUE(TEXT(_xlfn.ISOWEEKNUM(Errorlog_table[[#This Row],[Date]]),"00"))</f>
        <v>52</v>
      </c>
      <c r="F2" s="410">
        <f>VALUE((Errorlog_table[[#This Row],[Year]])&amp;TEXT(Errorlog_table[[#This Row],[Week_Number]],"00"))</f>
        <v>202452</v>
      </c>
      <c r="G2" s="370">
        <v>45650</v>
      </c>
      <c r="H2" s="371" t="s">
        <v>227</v>
      </c>
      <c r="I2" s="289" t="s">
        <v>228</v>
      </c>
      <c r="J2" s="289" t="str">
        <f>IF(LEN(VALUE(MID(Errorlog_table[[#This Row],[Description]],FIND(":",Errorlog_table[[#This Row],[Description]])+1,6)))&gt;1,MID(Errorlog_table[[#This Row],[Description]],FIND(":",Errorlog_table[[#This Row],[Description]])+1,6),"")</f>
        <v>104643</v>
      </c>
      <c r="K2" s="280">
        <v>14.866667</v>
      </c>
      <c r="L2" s="277" t="s">
        <v>94</v>
      </c>
      <c r="M2" s="277">
        <v>0</v>
      </c>
      <c r="N2" s="277" t="s">
        <v>229</v>
      </c>
      <c r="O2" s="281" t="str">
        <f t="shared" ref="O2:O33" si="0">IF(N2="",HYPERLINK("https://air.asml.com/textsearch.do?sysparm_search="&amp;M2,M2),HYPERLINK("https://air.asml.com/u_qm_issues.do?sysparm_query=number="&amp;N2,N2))</f>
        <v>P847221</v>
      </c>
      <c r="P2" s="277">
        <f>LEN(Errorlog_table[[#This Row],[AIR]])</f>
        <v>7</v>
      </c>
      <c r="Q2" cm="1">
        <f t="array" ref="Q2">IF(OR(Errorlog_table[[#This Row],[AIR]]="n/a",Errorlog_table[[#This Row],[Event_code]]="Y"),"n/a",IF(Errorlog_table[[#This Row],[AIR]]="","no AIR",_xlfn.XLOOKUP(Errorlog_table[[#This Row],[AIR]],AIR_dump[[#All],[Number]],AIR_dump[[#All],[Type]],"not found",0,1)))</f>
        <v>0</v>
      </c>
      <c r="R2" s="282" t="str" cm="1">
        <f t="array" ref="R2">IF(OR(Errorlog_table[[#This Row],[AIR]]="n/a",Errorlog_table[[#This Row],[Event_code]]="Y"),"n/a",IF(Errorlog_table[[#This Row],[AIR]]="","no AIR",_xlfn.XLOOKUP(Errorlog_table[[#This Row],[AIR]],AIR_dump[[#All],[Number]],AIR_dump[[#All],[Summary]],"not found",0,1)))</f>
        <v>[Intel][RS] Online PF Residual out of limits due to SS dynamics link drift</v>
      </c>
      <c r="S2" s="347" t="str" cm="1">
        <f t="array" ref="S2">_xlfn.XLOOKUP(Errorlog_table[[#This Row],[AIR]],AIR_dump[[#All],[Number]],AIR_dump[[#All],[Close notes]])</f>
        <v>RCA</v>
      </c>
      <c r="T2" s="372">
        <f>Errorlog_table[[#This Row],[Year_Week_Number]]</f>
        <v>202452</v>
      </c>
      <c r="U2" s="284" t="s">
        <v>230</v>
      </c>
      <c r="V2" s="284" t="s">
        <v>230</v>
      </c>
      <c r="W2" s="285" t="str">
        <f>Errorlog_table[[#This Row],[System]]</f>
        <v>GY86</v>
      </c>
      <c r="X2" s="366" t="str">
        <f>Errorlog_table[[#This Row],[link]]</f>
        <v>P847221</v>
      </c>
      <c r="Y2" s="366">
        <f>LEN(Errorlog_table[[#This Row],[P_Hits]])</f>
        <v>1</v>
      </c>
      <c r="Z2" s="277" t="str">
        <f>Errorlog_table[[#This Row],[Description]]</f>
        <v>EpmID:104643| SCN - Lot Abort for RS-Reinit (Lot Abort) | RQ-8120 |</v>
      </c>
      <c r="AA2" s="277"/>
      <c r="AB2" s="278">
        <f ca="1">_xlfn.ISOWEEKNUM(Errorlog_table[[#This Row],[Date]])+52*(Errorlog_table[[#This Row],[Year]]-YEAR(DATE(YEAR(TODAY()-WEEKDAY(TODAY()-1)+4),1,1)-MOD((DATE(YEAR(TODAY()-WEEKDAY(TODAY()-1)+4),1,1)-2),7)+(7*IF(MOD((DATE(YEAR(TODAY()-WEEKDAY(TODAY()-1)+4),1,1)-2),7)&gt;3,1,0))+7) )-_xlfn.ISOWEEKNUM(NOW())</f>
        <v>-37</v>
      </c>
      <c r="AC2" s="277"/>
      <c r="AD2" s="288" t="str">
        <f>TEXT(Errorlog_table[[#This Row],[Date]],"yyyy-mm-dd")&amp;"_"&amp;TEXT(Errorlog_table[[#This Row],[SDT_Timestamp]],"HH:MM:SS")&amp;"_"&amp;Errorlog_table[[#This Row],[System]]</f>
        <v>2024-12-24_09:07:00_GY86</v>
      </c>
      <c r="AE2" s="287" t="str">
        <f>Errorlog_table[[#This Row],[P_Hits]]</f>
        <v>Y</v>
      </c>
      <c r="AF2" s="287">
        <v>0</v>
      </c>
    </row>
    <row r="3" spans="1:32" ht="28.5">
      <c r="A3" s="369" t="s">
        <v>4</v>
      </c>
      <c r="B3" s="277" t="str">
        <f>VLOOKUP(A3,'5000_Fleet'!A:D,2,FALSE)</f>
        <v>Intel</v>
      </c>
      <c r="C3" s="289" t="s">
        <v>231</v>
      </c>
      <c r="D3" s="289">
        <f>YEAR(DATE(YEAR(Errorlog_table[[#This Row],[Date]]-WEEKDAY(Errorlog_table[[#This Row],[Date]]-1)+4),1,1)-MOD((DATE(YEAR(Errorlog_table[[#This Row],[Date]]-WEEKDAY(Errorlog_table[[#This Row],[Date]]-1)+4),1,1)-2),7)+(7*IF(MOD((DATE(YEAR(Errorlog_table[[#This Row],[Date]]-WEEKDAY(Errorlog_table[[#This Row],[Date]]-1)+4),1,1)-2),7)&gt;3,1,0))+7)</f>
        <v>2024</v>
      </c>
      <c r="E3" s="278">
        <f>VALUE(TEXT(_xlfn.ISOWEEKNUM(Errorlog_table[[#This Row],[Date]]),"00"))</f>
        <v>52</v>
      </c>
      <c r="F3" s="410">
        <f>VALUE((Errorlog_table[[#This Row],[Year]])&amp;TEXT(Errorlog_table[[#This Row],[Week_Number]],"00"))</f>
        <v>202452</v>
      </c>
      <c r="G3" s="370">
        <v>45650</v>
      </c>
      <c r="H3" s="371" t="s">
        <v>232</v>
      </c>
      <c r="I3" s="289" t="s">
        <v>233</v>
      </c>
      <c r="J3" s="289" t="str">
        <f>IF(LEN(VALUE(MID(Errorlog_table[[#This Row],[Description]],FIND(":",Errorlog_table[[#This Row],[Description]])+1,6)))&gt;1,MID(Errorlog_table[[#This Row],[Description]],FIND(":",Errorlog_table[[#This Row],[Description]])+1,6),"")</f>
        <v>104638</v>
      </c>
      <c r="K3" s="280">
        <v>5.8333329999999997</v>
      </c>
      <c r="L3" s="277" t="s">
        <v>234</v>
      </c>
      <c r="M3" s="277">
        <v>53013086</v>
      </c>
      <c r="N3" s="277" t="s">
        <v>235</v>
      </c>
      <c r="O3" s="281" t="str">
        <f t="shared" si="0"/>
        <v>P851510</v>
      </c>
      <c r="P3" s="277">
        <f>LEN(Errorlog_table[[#This Row],[AIR]])</f>
        <v>7</v>
      </c>
      <c r="Q3" cm="1">
        <f t="array" ref="Q3">IF(OR(Errorlog_table[[#This Row],[AIR]]="n/a",Errorlog_table[[#This Row],[Event_code]]="Y"),"n/a",IF(Errorlog_table[[#This Row],[AIR]]="","no AIR",_xlfn.XLOOKUP(Errorlog_table[[#This Row],[AIR]],AIR_dump[[#All],[Number]],AIR_dump[[#All],[Type]],"not found",0,1)))</f>
        <v>0</v>
      </c>
      <c r="R3" s="282" t="str" cm="1">
        <f t="array" ref="R3">IF(OR(Errorlog_table[[#This Row],[AIR]]="n/a",Errorlog_table[[#This Row],[Event_code]]="Y"),"n/a",IF(Errorlog_table[[#This Row],[AIR]]="","no AIR",_xlfn.XLOOKUP(Errorlog_table[[#This Row],[AIR]],AIR_dump[[#All],[Number]],AIR_dump[[#All],[Summary]],"not found",0,1)))</f>
        <v xml:space="preserve"> P851510 - [EXE 5000] [CR51] Request to investigate and add failure mode to DDF: Incorrect or no flow</v>
      </c>
      <c r="S3" s="347" t="str" cm="1">
        <f t="array" ref="S3">_xlfn.XLOOKUP(Errorlog_table[[#This Row],[AIR]],AIR_dump[[#All],[Number]],AIR_dump[[#All],[Close notes]])</f>
        <v>RCA</v>
      </c>
      <c r="T3" s="372">
        <f>Errorlog_table[[#This Row],[Year_Week_Number]]</f>
        <v>202452</v>
      </c>
      <c r="U3" s="284" t="s">
        <v>230</v>
      </c>
      <c r="V3" s="284" t="s">
        <v>230</v>
      </c>
      <c r="W3" s="285" t="str">
        <f>Errorlog_table[[#This Row],[System]]</f>
        <v>CR51</v>
      </c>
      <c r="X3" s="366" t="str">
        <f>Errorlog_table[[#This Row],[link]]</f>
        <v>P851510</v>
      </c>
      <c r="Y3" s="277">
        <f>LEN(Errorlog_table[[#This Row],[P_Hits]])</f>
        <v>1</v>
      </c>
      <c r="Z3" s="277" t="str">
        <f>Errorlog_table[[#This Row],[Description]]</f>
        <v>EpmID:104638| SRC - Down after Lot Abort | MEP-0106 |</v>
      </c>
      <c r="AA3" s="277"/>
      <c r="AB3" s="278">
        <f ca="1">_xlfn.ISOWEEKNUM(Errorlog_table[[#This Row],[Date]])+52*(Errorlog_table[[#This Row],[Year]]-YEAR(DATE(YEAR(TODAY()-WEEKDAY(TODAY()-1)+4),1,1)-MOD((DATE(YEAR(TODAY()-WEEKDAY(TODAY()-1)+4),1,1)-2),7)+(7*IF(MOD((DATE(YEAR(TODAY()-WEEKDAY(TODAY()-1)+4),1,1)-2),7)&gt;3,1,0))+7) )-_xlfn.ISOWEEKNUM(NOW())</f>
        <v>-37</v>
      </c>
      <c r="AC3" s="277"/>
      <c r="AD3" s="288" t="str">
        <f>TEXT(Errorlog_table[[#This Row],[Date]],"yyyy-mm-dd")&amp;"_"&amp;TEXT(Errorlog_table[[#This Row],[SDT_Timestamp]],"HH:MM:SS")&amp;"_"&amp;Errorlog_table[[#This Row],[System]]</f>
        <v>2024-12-24_05:30:00_CR51</v>
      </c>
      <c r="AE3" s="287" t="str">
        <f>Errorlog_table[[#This Row],[P_Hits]]</f>
        <v>Y</v>
      </c>
      <c r="AF3" s="287">
        <v>0</v>
      </c>
    </row>
    <row r="4" spans="1:32" ht="28.5">
      <c r="A4" s="369" t="s">
        <v>4</v>
      </c>
      <c r="B4" s="277" t="str">
        <f>VLOOKUP(A4,'5000_Fleet'!A:D,2,FALSE)</f>
        <v>Intel</v>
      </c>
      <c r="C4" s="289" t="s">
        <v>236</v>
      </c>
      <c r="D4" s="289">
        <f>YEAR(DATE(YEAR(Errorlog_table[[#This Row],[Date]]-WEEKDAY(Errorlog_table[[#This Row],[Date]]-1)+4),1,1)-MOD((DATE(YEAR(Errorlog_table[[#This Row],[Date]]-WEEKDAY(Errorlog_table[[#This Row],[Date]]-1)+4),1,1)-2),7)+(7*IF(MOD((DATE(YEAR(Errorlog_table[[#This Row],[Date]]-WEEKDAY(Errorlog_table[[#This Row],[Date]]-1)+4),1,1)-2),7)&gt;3,1,0))+7)</f>
        <v>2024</v>
      </c>
      <c r="E4" s="278">
        <f>VALUE(TEXT(_xlfn.ISOWEEKNUM(Errorlog_table[[#This Row],[Date]]),"00"))</f>
        <v>52</v>
      </c>
      <c r="F4" s="410">
        <f>VALUE((Errorlog_table[[#This Row],[Year]])&amp;TEXT(Errorlog_table[[#This Row],[Week_Number]],"00"))</f>
        <v>202452</v>
      </c>
      <c r="G4" s="370">
        <v>45650</v>
      </c>
      <c r="H4" s="371" t="s">
        <v>237</v>
      </c>
      <c r="I4" s="289" t="s">
        <v>238</v>
      </c>
      <c r="J4" s="289" t="str">
        <f>IF(LEN(VALUE(MID(Errorlog_table[[#This Row],[Description]],FIND(":",Errorlog_table[[#This Row],[Description]])+1,6)))&gt;1,MID(Errorlog_table[[#This Row],[Description]],FIND(":",Errorlog_table[[#This Row],[Description]])+1,6),"")</f>
        <v>105038</v>
      </c>
      <c r="K4" s="280">
        <v>2.2999999999999998</v>
      </c>
      <c r="L4" s="277" t="s">
        <v>234</v>
      </c>
      <c r="M4" s="277">
        <v>53013308</v>
      </c>
      <c r="N4" s="277"/>
      <c r="O4" s="281">
        <f t="shared" si="0"/>
        <v>53013308</v>
      </c>
      <c r="P4" s="277">
        <f>LEN(Errorlog_table[[#This Row],[AIR]])</f>
        <v>0</v>
      </c>
      <c r="Q4" t="str" cm="1">
        <f t="array" ref="Q4">IF(OR(Errorlog_table[[#This Row],[AIR]]="n/a",Errorlog_table[[#This Row],[Event_code]]="Y"),"n/a",IF(Errorlog_table[[#This Row],[AIR]]="","no AIR",_xlfn.XLOOKUP(Errorlog_table[[#This Row],[AIR]],AIR_dump[[#All],[Number]],AIR_dump[[#All],[Type]],"not found",0,1)))</f>
        <v>no AIR</v>
      </c>
      <c r="R4" s="282" t="str">
        <f>Errorlog_table[[#This Row],[Description]]</f>
        <v>EpmID:105038| SRC - DL error unable to load customer jobs. | LSP-01B3 |</v>
      </c>
      <c r="S4" s="347" cm="1">
        <f t="array" ref="S4">_xlfn.XLOOKUP(Errorlog_table[[#This Row],[AIR]],AIR_dump[[#All],[Number]],AIR_dump[[#All],[Close notes]])</f>
        <v>0</v>
      </c>
      <c r="T4" s="372">
        <f>Errorlog_table[[#This Row],[Year_Week_Number]]</f>
        <v>202452</v>
      </c>
      <c r="U4" s="284" t="s">
        <v>239</v>
      </c>
      <c r="V4" s="284" t="s">
        <v>230</v>
      </c>
      <c r="W4" s="285" t="str">
        <f>Errorlog_table[[#This Row],[System]]</f>
        <v>CR51</v>
      </c>
      <c r="X4" s="366">
        <f>Errorlog_table[[#This Row],[link]]</f>
        <v>53013308</v>
      </c>
      <c r="Y4" s="277">
        <f>LEN(Errorlog_table[[#This Row],[P_Hits]])</f>
        <v>1</v>
      </c>
      <c r="Z4" s="277" t="str">
        <f>Errorlog_table[[#This Row],[Description]]</f>
        <v>EpmID:105038| SRC - DL error unable to load customer jobs. | LSP-01B3 |</v>
      </c>
      <c r="AA4" s="277"/>
      <c r="AB4" s="278">
        <f ca="1">_xlfn.ISOWEEKNUM(Errorlog_table[[#This Row],[Date]])+52*(Errorlog_table[[#This Row],[Year]]-YEAR(DATE(YEAR(TODAY()-WEEKDAY(TODAY()-1)+4),1,1)-MOD((DATE(YEAR(TODAY()-WEEKDAY(TODAY()-1)+4),1,1)-2),7)+(7*IF(MOD((DATE(YEAR(TODAY()-WEEKDAY(TODAY()-1)+4),1,1)-2),7)&gt;3,1,0))+7) )-_xlfn.ISOWEEKNUM(NOW())</f>
        <v>-37</v>
      </c>
      <c r="AC4" s="277"/>
      <c r="AD4" s="288" t="str">
        <f>TEXT(Errorlog_table[[#This Row],[Date]],"yyyy-mm-dd")&amp;"_"&amp;TEXT(Errorlog_table[[#This Row],[SDT_Timestamp]],"HH:MM:SS")&amp;"_"&amp;Errorlog_table[[#This Row],[System]]</f>
        <v>2024-12-24_14:05:00_CR51</v>
      </c>
      <c r="AE4" s="287" t="str">
        <f>Errorlog_table[[#This Row],[P_Hits]]</f>
        <v>N</v>
      </c>
      <c r="AF4" s="287">
        <v>0</v>
      </c>
    </row>
    <row r="5" spans="1:32" ht="28.5">
      <c r="A5" s="369" t="s">
        <v>4</v>
      </c>
      <c r="B5" s="277" t="str">
        <f>VLOOKUP(A5,'5000_Fleet'!A:D,2,FALSE)</f>
        <v>Intel</v>
      </c>
      <c r="C5" s="289" t="s">
        <v>240</v>
      </c>
      <c r="D5" s="289">
        <f>YEAR(DATE(YEAR(Errorlog_table[[#This Row],[Date]]-WEEKDAY(Errorlog_table[[#This Row],[Date]]-1)+4),1,1)-MOD((DATE(YEAR(Errorlog_table[[#This Row],[Date]]-WEEKDAY(Errorlog_table[[#This Row],[Date]]-1)+4),1,1)-2),7)+(7*IF(MOD((DATE(YEAR(Errorlog_table[[#This Row],[Date]]-WEEKDAY(Errorlog_table[[#This Row],[Date]]-1)+4),1,1)-2),7)&gt;3,1,0))+7)</f>
        <v>2024</v>
      </c>
      <c r="E5" s="278">
        <f>VALUE(TEXT(_xlfn.ISOWEEKNUM(Errorlog_table[[#This Row],[Date]]),"00"))</f>
        <v>52</v>
      </c>
      <c r="F5" s="410">
        <f>VALUE((Errorlog_table[[#This Row],[Year]])&amp;TEXT(Errorlog_table[[#This Row],[Week_Number]],"00"))</f>
        <v>202452</v>
      </c>
      <c r="G5" s="370">
        <v>45651</v>
      </c>
      <c r="H5" s="371" t="s">
        <v>241</v>
      </c>
      <c r="I5" s="289" t="s">
        <v>242</v>
      </c>
      <c r="J5" s="289" t="str">
        <f>IF(LEN(VALUE(MID(Errorlog_table[[#This Row],[Description]],FIND(":",Errorlog_table[[#This Row],[Description]])+1,6)))&gt;1,MID(Errorlog_table[[#This Row],[Description]],FIND(":",Errorlog_table[[#This Row],[Description]])+1,6),"")</f>
        <v>105030</v>
      </c>
      <c r="K5" s="280">
        <v>4.45</v>
      </c>
      <c r="L5" s="287"/>
      <c r="M5" s="277">
        <v>0</v>
      </c>
      <c r="N5" s="277" t="s">
        <v>243</v>
      </c>
      <c r="O5" s="281" t="str">
        <f t="shared" si="0"/>
        <v>P820381</v>
      </c>
      <c r="P5" s="277">
        <f>LEN(Errorlog_table[[#This Row],[AIR]])</f>
        <v>7</v>
      </c>
      <c r="Q5" cm="1">
        <f t="array" ref="Q5">IF(OR(Errorlog_table[[#This Row],[AIR]]="n/a",Errorlog_table[[#This Row],[Event_code]]="Y"),"n/a",IF(Errorlog_table[[#This Row],[AIR]]="","no AIR",_xlfn.XLOOKUP(Errorlog_table[[#This Row],[AIR]],AIR_dump[[#All],[Number]],AIR_dump[[#All],[Type]],"not found",0,1)))</f>
        <v>0</v>
      </c>
      <c r="R5" s="282" t="str" cm="1">
        <f t="array" ref="R5">IF(OR(Errorlog_table[[#This Row],[AIR]]="n/a",Errorlog_table[[#This Row],[Event_code]]="Y"),"n/a",IF(Errorlog_table[[#This Row],[AIR]]="","no AIR",_xlfn.XLOOKUP(Errorlog_table[[#This Row],[AIR]],AIR_dump[[#All],[Number]],AIR_dump[[#All],[Summary]],"not found",0,1)))</f>
        <v>P820381 - |Proto2| |VHV| |mEX04| Lot Abort Due to DW-56C6 Real Time Sensor Link communication with D</v>
      </c>
      <c r="S5" s="347" t="str" cm="1">
        <f t="array" ref="S5">_xlfn.XLOOKUP(Errorlog_table[[#This Row],[AIR]],AIR_dump[[#All],[Number]],AIR_dump[[#All],[Close notes]])</f>
        <v>Containment in SP22 since not occurred</v>
      </c>
      <c r="T5" s="372">
        <f>Errorlog_table[[#This Row],[Year_Week_Number]]</f>
        <v>202452</v>
      </c>
      <c r="U5" s="284" t="s">
        <v>230</v>
      </c>
      <c r="V5" s="284" t="s">
        <v>230</v>
      </c>
      <c r="W5" s="285" t="str">
        <f>Errorlog_table[[#This Row],[System]]</f>
        <v>CR51</v>
      </c>
      <c r="X5" s="366" t="str">
        <f>Errorlog_table[[#This Row],[link]]</f>
        <v>P820381</v>
      </c>
      <c r="Y5" s="277">
        <f>LEN(Errorlog_table[[#This Row],[P_Hits]])</f>
        <v>1</v>
      </c>
      <c r="Z5" s="277" t="str">
        <f>Errorlog_table[[#This Row],[Description]]</f>
        <v>EpmID:105030| SCN - DW-56C6 Lot Abort | DW-56C6 |</v>
      </c>
      <c r="AA5" s="277"/>
      <c r="AB5" s="278">
        <f ca="1">_xlfn.ISOWEEKNUM(Errorlog_table[[#This Row],[Date]])+52*(Errorlog_table[[#This Row],[Year]]-YEAR(DATE(YEAR(TODAY()-WEEKDAY(TODAY()-1)+4),1,1)-MOD((DATE(YEAR(TODAY()-WEEKDAY(TODAY()-1)+4),1,1)-2),7)+(7*IF(MOD((DATE(YEAR(TODAY()-WEEKDAY(TODAY()-1)+4),1,1)-2),7)&gt;3,1,0))+7) )-_xlfn.ISOWEEKNUM(NOW())</f>
        <v>-37</v>
      </c>
      <c r="AC5" s="277"/>
      <c r="AD5" s="288" t="str">
        <f>TEXT(Errorlog_table[[#This Row],[Date]],"yyyy-mm-dd")&amp;"_"&amp;TEXT(Errorlog_table[[#This Row],[SDT_Timestamp]],"HH:MM:SS")&amp;"_"&amp;Errorlog_table[[#This Row],[System]]</f>
        <v>2024-12-25_00:25:00_CR51</v>
      </c>
      <c r="AE5" s="287" t="str">
        <f>Errorlog_table[[#This Row],[P_Hits]]</f>
        <v>Y</v>
      </c>
      <c r="AF5" s="287">
        <v>0</v>
      </c>
    </row>
    <row r="6" spans="1:32" ht="15">
      <c r="A6" s="369" t="s">
        <v>4</v>
      </c>
      <c r="B6" s="277" t="str">
        <f>VLOOKUP(A6,'5000_Fleet'!A:D,2,FALSE)</f>
        <v>Intel</v>
      </c>
      <c r="C6" s="289" t="s">
        <v>244</v>
      </c>
      <c r="D6" s="289">
        <f>YEAR(DATE(YEAR(Errorlog_table[[#This Row],[Date]]-WEEKDAY(Errorlog_table[[#This Row],[Date]]-1)+4),1,1)-MOD((DATE(YEAR(Errorlog_table[[#This Row],[Date]]-WEEKDAY(Errorlog_table[[#This Row],[Date]]-1)+4),1,1)-2),7)+(7*IF(MOD((DATE(YEAR(Errorlog_table[[#This Row],[Date]]-WEEKDAY(Errorlog_table[[#This Row],[Date]]-1)+4),1,1)-2),7)&gt;3,1,0))+7)</f>
        <v>2024</v>
      </c>
      <c r="E6" s="278">
        <f>VALUE(TEXT(_xlfn.ISOWEEKNUM(Errorlog_table[[#This Row],[Date]]),"00"))</f>
        <v>52</v>
      </c>
      <c r="F6" s="410">
        <f>VALUE((Errorlog_table[[#This Row],[Year]])&amp;TEXT(Errorlog_table[[#This Row],[Week_Number]],"00"))</f>
        <v>202452</v>
      </c>
      <c r="G6" s="370">
        <v>45652</v>
      </c>
      <c r="H6" s="371" t="s">
        <v>245</v>
      </c>
      <c r="I6" s="289" t="s">
        <v>246</v>
      </c>
      <c r="J6" s="289" t="str">
        <f>IF(LEN(VALUE(MID(Errorlog_table[[#This Row],[Description]],FIND(":",Errorlog_table[[#This Row],[Description]])+1,6)))&gt;1,MID(Errorlog_table[[#This Row],[Description]],FIND(":",Errorlog_table[[#This Row],[Description]])+1,6),"")</f>
        <v>105044</v>
      </c>
      <c r="K6" s="280">
        <v>1.6333329999999999</v>
      </c>
      <c r="L6" s="277" t="s">
        <v>234</v>
      </c>
      <c r="M6" s="277">
        <v>53016044</v>
      </c>
      <c r="N6" s="277" t="s">
        <v>235</v>
      </c>
      <c r="O6" s="281" t="str">
        <f t="shared" si="0"/>
        <v>P851510</v>
      </c>
      <c r="P6" s="277">
        <f>LEN(Errorlog_table[[#This Row],[AIR]])</f>
        <v>7</v>
      </c>
      <c r="Q6" cm="1">
        <f t="array" ref="Q6">IF(OR(Errorlog_table[[#This Row],[AIR]]="n/a",Errorlog_table[[#This Row],[Event_code]]="Y"),"n/a",IF(Errorlog_table[[#This Row],[AIR]]="","no AIR",_xlfn.XLOOKUP(Errorlog_table[[#This Row],[AIR]],AIR_dump[[#All],[Number]],AIR_dump[[#All],[Type]],"not found",0,1)))</f>
        <v>0</v>
      </c>
      <c r="R6" s="282" t="str">
        <f>Errorlog_table[[#This Row],[Description]]</f>
        <v>EpmID:105044| SRC - Lot abort for SRC error | LAB-002D |</v>
      </c>
      <c r="S6" s="347" t="str" cm="1">
        <f t="array" ref="S6">_xlfn.XLOOKUP(Errorlog_table[[#This Row],[AIR]],AIR_dump[[#All],[Number]],AIR_dump[[#All],[Close notes]])</f>
        <v>RCA</v>
      </c>
      <c r="T6" s="372">
        <f>Errorlog_table[[#This Row],[Year_Week_Number]]</f>
        <v>202452</v>
      </c>
      <c r="U6" s="284" t="s">
        <v>230</v>
      </c>
      <c r="V6" s="284" t="s">
        <v>230</v>
      </c>
      <c r="W6" s="285" t="str">
        <f>Errorlog_table[[#This Row],[System]]</f>
        <v>CR51</v>
      </c>
      <c r="X6" s="366" t="str">
        <f>Errorlog_table[[#This Row],[link]]</f>
        <v>P851510</v>
      </c>
      <c r="Y6" s="293">
        <f>LEN(Errorlog_table[[#This Row],[P_Hits]])</f>
        <v>1</v>
      </c>
      <c r="Z6" s="277" t="str">
        <f>Errorlog_table[[#This Row],[Description]]</f>
        <v>EpmID:105044| SRC - Lot abort for SRC error | LAB-002D |</v>
      </c>
      <c r="AA6" s="277"/>
      <c r="AB6" s="278">
        <f ca="1">_xlfn.ISOWEEKNUM(Errorlog_table[[#This Row],[Date]])+52*(Errorlog_table[[#This Row],[Year]]-YEAR(DATE(YEAR(TODAY()-WEEKDAY(TODAY()-1)+4),1,1)-MOD((DATE(YEAR(TODAY()-WEEKDAY(TODAY()-1)+4),1,1)-2),7)+(7*IF(MOD((DATE(YEAR(TODAY()-WEEKDAY(TODAY()-1)+4),1,1)-2),7)&gt;3,1,0))+7) )-_xlfn.ISOWEEKNUM(NOW())</f>
        <v>-37</v>
      </c>
      <c r="AC6" s="277"/>
      <c r="AD6" s="291" t="str">
        <f>TEXT(Errorlog_table[[#This Row],[Date]],"yyyy-mm-dd")&amp;"_"&amp;TEXT(Errorlog_table[[#This Row],[SDT_Timestamp]],"HH:MM:SS")&amp;"_"&amp;Errorlog_table[[#This Row],[System]]</f>
        <v>2024-12-26_00:14:00_CR51</v>
      </c>
      <c r="AE6" s="287" t="str">
        <f>Errorlog_table[[#This Row],[P_Hits]]</f>
        <v>Y</v>
      </c>
      <c r="AF6" s="287">
        <v>0</v>
      </c>
    </row>
    <row r="7" spans="1:32" ht="28.5">
      <c r="A7" s="369" t="s">
        <v>7</v>
      </c>
      <c r="B7" s="277" t="str">
        <f>VLOOKUP(A7,'5000_Fleet'!A:D,2,FALSE)</f>
        <v>Intel</v>
      </c>
      <c r="C7" s="289" t="s">
        <v>226</v>
      </c>
      <c r="D7" s="289">
        <f>YEAR(DATE(YEAR(Errorlog_table[[#This Row],[Date]]-WEEKDAY(Errorlog_table[[#This Row],[Date]]-1)+4),1,1)-MOD((DATE(YEAR(Errorlog_table[[#This Row],[Date]]-WEEKDAY(Errorlog_table[[#This Row],[Date]]-1)+4),1,1)-2),7)+(7*IF(MOD((DATE(YEAR(Errorlog_table[[#This Row],[Date]]-WEEKDAY(Errorlog_table[[#This Row],[Date]]-1)+4),1,1)-2),7)&gt;3,1,0))+7)</f>
        <v>2024</v>
      </c>
      <c r="E7" s="278">
        <f>VALUE(TEXT(_xlfn.ISOWEEKNUM(Errorlog_table[[#This Row],[Date]]),"00"))</f>
        <v>52</v>
      </c>
      <c r="F7" s="410">
        <f>VALUE((Errorlog_table[[#This Row],[Year]])&amp;TEXT(Errorlog_table[[#This Row],[Week_Number]],"00"))</f>
        <v>202452</v>
      </c>
      <c r="G7" s="370">
        <v>45653</v>
      </c>
      <c r="H7" s="371" t="s">
        <v>247</v>
      </c>
      <c r="I7" s="289" t="s">
        <v>248</v>
      </c>
      <c r="J7" s="289" t="str">
        <f>IF(LEN(VALUE(MID(Errorlog_table[[#This Row],[Description]],FIND(":",Errorlog_table[[#This Row],[Description]])+1,6)))&gt;1,MID(Errorlog_table[[#This Row],[Description]],FIND(":",Errorlog_table[[#This Row],[Description]])+1,6),"")</f>
        <v>105095</v>
      </c>
      <c r="K7" s="280">
        <v>2.8833329999999999</v>
      </c>
      <c r="L7" s="277"/>
      <c r="M7" s="277">
        <v>0</v>
      </c>
      <c r="N7" s="277" t="s">
        <v>229</v>
      </c>
      <c r="O7" s="281" t="str">
        <f t="shared" si="0"/>
        <v>P847221</v>
      </c>
      <c r="P7" s="277">
        <f>LEN(Errorlog_table[[#This Row],[AIR]])</f>
        <v>7</v>
      </c>
      <c r="Q7" cm="1">
        <f t="array" ref="Q7">IF(OR(Errorlog_table[[#This Row],[AIR]]="n/a",Errorlog_table[[#This Row],[Event_code]]="Y"),"n/a",IF(Errorlog_table[[#This Row],[AIR]]="","no AIR",_xlfn.XLOOKUP(Errorlog_table[[#This Row],[AIR]],AIR_dump[[#All],[Number]],AIR_dump[[#All],[Type]],"not found",0,1)))</f>
        <v>0</v>
      </c>
      <c r="R7" s="282" t="str" cm="1">
        <f t="array" ref="R7">IF(OR(Errorlog_table[[#This Row],[AIR]]="n/a",Errorlog_table[[#This Row],[Event_code]]="Y"),"n/a",IF(Errorlog_table[[#This Row],[AIR]]="","no AIR",_xlfn.XLOOKUP(Errorlog_table[[#This Row],[AIR]],AIR_dump[[#All],[Number]],AIR_dump[[#All],[Summary]],"not found",0,1)))</f>
        <v>[Intel][RS] Online PF Residual out of limits due to SS dynamics link drift</v>
      </c>
      <c r="S7" s="347" t="str" cm="1">
        <f t="array" ref="S7">_xlfn.XLOOKUP(Errorlog_table[[#This Row],[AIR]],AIR_dump[[#All],[Number]],AIR_dump[[#All],[Close notes]])</f>
        <v>RCA</v>
      </c>
      <c r="T7" s="372">
        <f>Errorlog_table[[#This Row],[Year_Week_Number]]</f>
        <v>202452</v>
      </c>
      <c r="U7" s="284" t="s">
        <v>230</v>
      </c>
      <c r="V7" s="284" t="s">
        <v>230</v>
      </c>
      <c r="W7" s="285" t="str">
        <f>Errorlog_table[[#This Row],[System]]</f>
        <v>GY86</v>
      </c>
      <c r="X7" s="366" t="str">
        <f>Errorlog_table[[#This Row],[link]]</f>
        <v>P847221</v>
      </c>
      <c r="Y7" s="293">
        <f>LEN(Errorlog_table[[#This Row],[P_Hits]])</f>
        <v>1</v>
      </c>
      <c r="Z7" s="277" t="str">
        <f>Errorlog_table[[#This Row],[Description]]</f>
        <v>EpmID:105095| SCN - Lot abort for PF residue OOL | RQ-8120 |</v>
      </c>
      <c r="AA7" s="277"/>
      <c r="AB7" s="278">
        <f ca="1">_xlfn.ISOWEEKNUM(Errorlog_table[[#This Row],[Date]])+52*(Errorlog_table[[#This Row],[Year]]-YEAR(DATE(YEAR(TODAY()-WEEKDAY(TODAY()-1)+4),1,1)-MOD((DATE(YEAR(TODAY()-WEEKDAY(TODAY()-1)+4),1,1)-2),7)+(7*IF(MOD((DATE(YEAR(TODAY()-WEEKDAY(TODAY()-1)+4),1,1)-2),7)&gt;3,1,0))+7) )-_xlfn.ISOWEEKNUM(NOW())</f>
        <v>-37</v>
      </c>
      <c r="AC7" s="277"/>
      <c r="AD7" s="291" t="str">
        <f>TEXT(Errorlog_table[[#This Row],[Date]],"yyyy-mm-dd")&amp;"_"&amp;TEXT(Errorlog_table[[#This Row],[SDT_Timestamp]],"HH:MM:SS")&amp;"_"&amp;Errorlog_table[[#This Row],[System]]</f>
        <v>2024-12-27_00:55:00_GY86</v>
      </c>
      <c r="AE7" s="287" t="str">
        <f>Errorlog_table[[#This Row],[P_Hits]]</f>
        <v>Y</v>
      </c>
      <c r="AF7" s="287">
        <v>0</v>
      </c>
    </row>
    <row r="8" spans="1:32" ht="28.5">
      <c r="A8" s="369" t="s">
        <v>4</v>
      </c>
      <c r="B8" s="277" t="str">
        <f>VLOOKUP(A8,'5000_Fleet'!A:D,2,FALSE)</f>
        <v>Intel</v>
      </c>
      <c r="C8" s="289" t="s">
        <v>244</v>
      </c>
      <c r="D8" s="289">
        <f>YEAR(DATE(YEAR(Errorlog_table[[#This Row],[Date]]-WEEKDAY(Errorlog_table[[#This Row],[Date]]-1)+4),1,1)-MOD((DATE(YEAR(Errorlog_table[[#This Row],[Date]]-WEEKDAY(Errorlog_table[[#This Row],[Date]]-1)+4),1,1)-2),7)+(7*IF(MOD((DATE(YEAR(Errorlog_table[[#This Row],[Date]]-WEEKDAY(Errorlog_table[[#This Row],[Date]]-1)+4),1,1)-2),7)&gt;3,1,0))+7)</f>
        <v>2024</v>
      </c>
      <c r="E8" s="278">
        <f>VALUE(TEXT(_xlfn.ISOWEEKNUM(Errorlog_table[[#This Row],[Date]]),"00"))</f>
        <v>52</v>
      </c>
      <c r="F8" s="410">
        <f>VALUE((Errorlog_table[[#This Row],[Year]])&amp;TEXT(Errorlog_table[[#This Row],[Week_Number]],"00"))</f>
        <v>202452</v>
      </c>
      <c r="G8" s="370">
        <v>45653</v>
      </c>
      <c r="H8" s="371" t="s">
        <v>249</v>
      </c>
      <c r="I8" s="289" t="s">
        <v>250</v>
      </c>
      <c r="J8" s="289" t="str">
        <f>IF(LEN(VALUE(MID(Errorlog_table[[#This Row],[Description]],FIND(":",Errorlog_table[[#This Row],[Description]])+1,6)))&gt;1,MID(Errorlog_table[[#This Row],[Description]],FIND(":",Errorlog_table[[#This Row],[Description]])+1,6),"")</f>
        <v>105031</v>
      </c>
      <c r="K8" s="280">
        <v>0.78333299999999995</v>
      </c>
      <c r="L8" s="277" t="s">
        <v>234</v>
      </c>
      <c r="M8" s="277">
        <v>53013086</v>
      </c>
      <c r="N8" s="277" t="s">
        <v>235</v>
      </c>
      <c r="O8" s="281" t="str">
        <f t="shared" si="0"/>
        <v>P851510</v>
      </c>
      <c r="P8" s="277">
        <f>LEN(Errorlog_table[[#This Row],[AIR]])</f>
        <v>7</v>
      </c>
      <c r="Q8" cm="1">
        <f t="array" ref="Q8">IF(OR(Errorlog_table[[#This Row],[AIR]]="n/a",Errorlog_table[[#This Row],[Event_code]]="Y"),"n/a",IF(Errorlog_table[[#This Row],[AIR]]="","no AIR",_xlfn.XLOOKUP(Errorlog_table[[#This Row],[AIR]],AIR_dump[[#All],[Number]],AIR_dump[[#All],[Type]],"not found",0,1)))</f>
        <v>0</v>
      </c>
      <c r="R8" s="282" t="str" cm="1">
        <f t="array" ref="R8">IF(OR(Errorlog_table[[#This Row],[AIR]]="n/a",Errorlog_table[[#This Row],[Event_code]]="Y"),"n/a",IF(Errorlog_table[[#This Row],[AIR]]="","no AIR",_xlfn.XLOOKUP(Errorlog_table[[#This Row],[AIR]],AIR_dump[[#All],[Number]],AIR_dump[[#All],[Summary]],"not found",0,1)))</f>
        <v xml:space="preserve"> P851510 - [EXE 5000] [CR51] Request to investigate and add failure mode to DDF: Incorrect or no flow</v>
      </c>
      <c r="S8" s="347" t="str" cm="1">
        <f t="array" ref="S8">_xlfn.XLOOKUP(Errorlog_table[[#This Row],[AIR]],AIR_dump[[#All],[Number]],AIR_dump[[#All],[Close notes]])</f>
        <v>RCA</v>
      </c>
      <c r="T8" s="372">
        <f>Errorlog_table[[#This Row],[Year_Week_Number]]</f>
        <v>202452</v>
      </c>
      <c r="U8" s="284" t="s">
        <v>239</v>
      </c>
      <c r="V8" s="284" t="s">
        <v>230</v>
      </c>
      <c r="W8" s="285" t="str">
        <f>Errorlog_table[[#This Row],[System]]</f>
        <v>CR51</v>
      </c>
      <c r="X8" s="366" t="str">
        <f>Errorlog_table[[#This Row],[link]]</f>
        <v>P851510</v>
      </c>
      <c r="Y8" s="293">
        <f>LEN(Errorlog_table[[#This Row],[P_Hits]])</f>
        <v>1</v>
      </c>
      <c r="Z8" s="277" t="str">
        <f>Errorlog_table[[#This Row],[Description]]</f>
        <v>EpmID:105031| CO2 - TRUC RF error | LAB-002D |</v>
      </c>
      <c r="AA8" s="277"/>
      <c r="AB8" s="278">
        <f ca="1">_xlfn.ISOWEEKNUM(Errorlog_table[[#This Row],[Date]])+52*(Errorlog_table[[#This Row],[Year]]-YEAR(DATE(YEAR(TODAY()-WEEKDAY(TODAY()-1)+4),1,1)-MOD((DATE(YEAR(TODAY()-WEEKDAY(TODAY()-1)+4),1,1)-2),7)+(7*IF(MOD((DATE(YEAR(TODAY()-WEEKDAY(TODAY()-1)+4),1,1)-2),7)&gt;3,1,0))+7) )-_xlfn.ISOWEEKNUM(NOW())</f>
        <v>-37</v>
      </c>
      <c r="AC8" s="277"/>
      <c r="AD8" s="291" t="str">
        <f>TEXT(Errorlog_table[[#This Row],[Date]],"yyyy-mm-dd")&amp;"_"&amp;TEXT(Errorlog_table[[#This Row],[SDT_Timestamp]],"HH:MM:SS")&amp;"_"&amp;Errorlog_table[[#This Row],[System]]</f>
        <v>2024-12-27_09:42:00_CR51</v>
      </c>
      <c r="AE8" s="287" t="str">
        <f>Errorlog_table[[#This Row],[P_Hits]]</f>
        <v>N</v>
      </c>
      <c r="AF8" s="287">
        <v>0</v>
      </c>
    </row>
    <row r="9" spans="1:32" ht="42.75">
      <c r="A9" s="369" t="s">
        <v>7</v>
      </c>
      <c r="B9" s="277" t="str">
        <f>VLOOKUP(A9,'5000_Fleet'!A:D,2,FALSE)</f>
        <v>Intel</v>
      </c>
      <c r="C9" s="289" t="s">
        <v>251</v>
      </c>
      <c r="D9" s="289">
        <f>YEAR(DATE(YEAR(Errorlog_table[[#This Row],[Date]]-WEEKDAY(Errorlog_table[[#This Row],[Date]]-1)+4),1,1)-MOD((DATE(YEAR(Errorlog_table[[#This Row],[Date]]-WEEKDAY(Errorlog_table[[#This Row],[Date]]-1)+4),1,1)-2),7)+(7*IF(MOD((DATE(YEAR(Errorlog_table[[#This Row],[Date]]-WEEKDAY(Errorlog_table[[#This Row],[Date]]-1)+4),1,1)-2),7)&gt;3,1,0))+7)</f>
        <v>2024</v>
      </c>
      <c r="E9" s="278">
        <f>VALUE(TEXT(_xlfn.ISOWEEKNUM(Errorlog_table[[#This Row],[Date]]),"00"))</f>
        <v>52</v>
      </c>
      <c r="F9" s="410">
        <f>VALUE((Errorlog_table[[#This Row],[Year]])&amp;TEXT(Errorlog_table[[#This Row],[Week_Number]],"00"))</f>
        <v>202452</v>
      </c>
      <c r="G9" s="370">
        <v>45654</v>
      </c>
      <c r="H9" s="371" t="s">
        <v>252</v>
      </c>
      <c r="I9" s="289" t="s">
        <v>253</v>
      </c>
      <c r="J9" s="289" t="str">
        <f>IF(LEN(VALUE(MID(Errorlog_table[[#This Row],[Description]],FIND(":",Errorlog_table[[#This Row],[Description]])+1,6)))&gt;1,MID(Errorlog_table[[#This Row],[Description]],FIND(":",Errorlog_table[[#This Row],[Description]])+1,6),"")</f>
        <v>105070</v>
      </c>
      <c r="K9" s="280">
        <v>6.0333329999999998</v>
      </c>
      <c r="L9" s="277" t="s">
        <v>126</v>
      </c>
      <c r="M9" s="277">
        <v>0</v>
      </c>
      <c r="N9" s="277" t="s">
        <v>254</v>
      </c>
      <c r="O9" s="281" t="str">
        <f t="shared" si="0"/>
        <v>P814232</v>
      </c>
      <c r="P9" s="277">
        <f>LEN(Errorlog_table[[#This Row],[AIR]])</f>
        <v>7</v>
      </c>
      <c r="Q9" t="str" cm="1">
        <f t="array" ref="Q9">IF(OR(Errorlog_table[[#This Row],[AIR]]="n/a",Errorlog_table[[#This Row],[Event_code]]="Y"),"n/a",IF(Errorlog_table[[#This Row],[AIR]]="","no AIR",_xlfn.XLOOKUP(Errorlog_table[[#This Row],[AIR]],AIR_dump[[#All],[Number]],AIR_dump[[#All],[Type]],"not found",0,1)))</f>
        <v>ZK</v>
      </c>
      <c r="R9" s="282" t="str" cm="1">
        <f t="array" ref="R9">IF(OR(Errorlog_table[[#This Row],[AIR]]="n/a",Errorlog_table[[#This Row],[Event_code]]="Y"),"n/a",IF(Errorlog_table[[#This Row],[AIR]]="","no AIR",_xlfn.XLOOKUP(Errorlog_table[[#This Row],[AIR]],AIR_dump[[#All],[Number]],AIR_dump[[#All],[Summary]],"not found",0,1)))</f>
        <v>[EXE][NXE 3800] [NXE3600] -ILIAS PARIS sensor  failing on Destination Violation error</v>
      </c>
      <c r="S9" s="347" t="str" cm="1">
        <f t="array" ref="S9">_xlfn.XLOOKUP(Errorlog_table[[#This Row],[AIR]],AIR_dump[[#All],[Number]],AIR_dump[[#All],[Close notes]])</f>
        <v>[intake 2447]
wk48.5 Test plan available, expecting to test in wk49 (EXE system)</v>
      </c>
      <c r="T9" s="372">
        <f>Errorlog_table[[#This Row],[Year_Week_Number]]</f>
        <v>202452</v>
      </c>
      <c r="U9" s="284" t="s">
        <v>230</v>
      </c>
      <c r="V9" s="284" t="s">
        <v>230</v>
      </c>
      <c r="W9" s="285" t="str">
        <f>Errorlog_table[[#This Row],[System]]</f>
        <v>GY86</v>
      </c>
      <c r="X9" s="366" t="str">
        <f>Errorlog_table[[#This Row],[link]]</f>
        <v>P814232</v>
      </c>
      <c r="Y9" s="293">
        <f>LEN(Errorlog_table[[#This Row],[P_Hits]])</f>
        <v>1</v>
      </c>
      <c r="Z9" s="277" t="str">
        <f>Errorlog_table[[#This Row],[Description]]</f>
        <v>EpmID:105070| SCN - Lot Abort for ZH-221D | ZH-221D |</v>
      </c>
      <c r="AA9" s="277"/>
      <c r="AB9" s="278">
        <f ca="1">_xlfn.ISOWEEKNUM(Errorlog_table[[#This Row],[Date]])+52*(Errorlog_table[[#This Row],[Year]]-YEAR(DATE(YEAR(TODAY()-WEEKDAY(TODAY()-1)+4),1,1)-MOD((DATE(YEAR(TODAY()-WEEKDAY(TODAY()-1)+4),1,1)-2),7)+(7*IF(MOD((DATE(YEAR(TODAY()-WEEKDAY(TODAY()-1)+4),1,1)-2),7)&gt;3,1,0))+7) )-_xlfn.ISOWEEKNUM(NOW())</f>
        <v>-37</v>
      </c>
      <c r="AC9" s="277"/>
      <c r="AD9" s="291" t="str">
        <f>TEXT(Errorlog_table[[#This Row],[Date]],"yyyy-mm-dd")&amp;"_"&amp;TEXT(Errorlog_table[[#This Row],[SDT_Timestamp]],"HH:MM:SS")&amp;"_"&amp;Errorlog_table[[#This Row],[System]]</f>
        <v>2024-12-28_13:39:00_GY86</v>
      </c>
      <c r="AE9" s="287" t="str">
        <f>Errorlog_table[[#This Row],[P_Hits]]</f>
        <v>Y</v>
      </c>
      <c r="AF9" s="287">
        <v>0</v>
      </c>
    </row>
    <row r="10" spans="1:32" ht="42.75">
      <c r="A10" s="369" t="s">
        <v>7</v>
      </c>
      <c r="B10" s="277" t="str">
        <f>VLOOKUP(A10,'5000_Fleet'!A:D,2,FALSE)</f>
        <v>Intel</v>
      </c>
      <c r="C10" s="289" t="s">
        <v>251</v>
      </c>
      <c r="D10" s="289">
        <f>YEAR(DATE(YEAR(Errorlog_table[[#This Row],[Date]]-WEEKDAY(Errorlog_table[[#This Row],[Date]]-1)+4),1,1)-MOD((DATE(YEAR(Errorlog_table[[#This Row],[Date]]-WEEKDAY(Errorlog_table[[#This Row],[Date]]-1)+4),1,1)-2),7)+(7*IF(MOD((DATE(YEAR(Errorlog_table[[#This Row],[Date]]-WEEKDAY(Errorlog_table[[#This Row],[Date]]-1)+4),1,1)-2),7)&gt;3,1,0))+7)</f>
        <v>2024</v>
      </c>
      <c r="E10" s="278">
        <f>VALUE(TEXT(_xlfn.ISOWEEKNUM(Errorlog_table[[#This Row],[Date]]),"00"))</f>
        <v>52</v>
      </c>
      <c r="F10" s="410">
        <f>VALUE((Errorlog_table[[#This Row],[Year]])&amp;TEXT(Errorlog_table[[#This Row],[Week_Number]],"00"))</f>
        <v>202452</v>
      </c>
      <c r="G10" s="370">
        <v>45654</v>
      </c>
      <c r="H10" s="371" t="s">
        <v>255</v>
      </c>
      <c r="I10" s="289" t="s">
        <v>256</v>
      </c>
      <c r="J10" s="289" t="str">
        <f>IF(LEN(VALUE(MID(Errorlog_table[[#This Row],[Description]],FIND(":",Errorlog_table[[#This Row],[Description]])+1,6)))&gt;1,MID(Errorlog_table[[#This Row],[Description]],FIND(":",Errorlog_table[[#This Row],[Description]])+1,6),"")</f>
        <v>105077</v>
      </c>
      <c r="K10" s="280">
        <v>5.35</v>
      </c>
      <c r="L10" s="277" t="s">
        <v>126</v>
      </c>
      <c r="M10" s="277">
        <v>0</v>
      </c>
      <c r="N10" s="277" t="s">
        <v>254</v>
      </c>
      <c r="O10" s="281" t="str">
        <f t="shared" si="0"/>
        <v>P814232</v>
      </c>
      <c r="P10" s="277">
        <f>LEN(Errorlog_table[[#This Row],[AIR]])</f>
        <v>7</v>
      </c>
      <c r="Q10" t="str" cm="1">
        <f t="array" ref="Q10">IF(OR(Errorlog_table[[#This Row],[AIR]]="n/a",Errorlog_table[[#This Row],[Event_code]]="Y"),"n/a",IF(Errorlog_table[[#This Row],[AIR]]="","no AIR",_xlfn.XLOOKUP(Errorlog_table[[#This Row],[AIR]],AIR_dump[[#All],[Number]],AIR_dump[[#All],[Type]],"not found",0,1)))</f>
        <v>ZK</v>
      </c>
      <c r="R10" s="282" t="str" cm="1">
        <f t="array" ref="R10">IF(OR(Errorlog_table[[#This Row],[AIR]]="n/a",Errorlog_table[[#This Row],[Event_code]]="Y"),"n/a",IF(Errorlog_table[[#This Row],[AIR]]="","no AIR",_xlfn.XLOOKUP(Errorlog_table[[#This Row],[AIR]],AIR_dump[[#All],[Number]],AIR_dump[[#All],[Summary]],"not found",0,1)))</f>
        <v>[EXE][NXE 3800] [NXE3600] -ILIAS PARIS sensor  failing on Destination Violation error</v>
      </c>
      <c r="S10" s="347" t="str" cm="1">
        <f t="array" ref="S10">_xlfn.XLOOKUP(Errorlog_table[[#This Row],[AIR]],AIR_dump[[#All],[Number]],AIR_dump[[#All],[Close notes]])</f>
        <v>[intake 2447]
wk48.5 Test plan available, expecting to test in wk49 (EXE system)</v>
      </c>
      <c r="T10" s="372">
        <f>Errorlog_table[[#This Row],[Year_Week_Number]]</f>
        <v>202452</v>
      </c>
      <c r="U10" s="284" t="s">
        <v>230</v>
      </c>
      <c r="V10" s="284" t="s">
        <v>230</v>
      </c>
      <c r="W10" s="285" t="str">
        <f>Errorlog_table[[#This Row],[System]]</f>
        <v>GY86</v>
      </c>
      <c r="X10" s="366" t="str">
        <f>Errorlog_table[[#This Row],[link]]</f>
        <v>P814232</v>
      </c>
      <c r="Y10" s="293">
        <f>LEN(Errorlog_table[[#This Row],[P_Hits]])</f>
        <v>1</v>
      </c>
      <c r="Z10" s="277" t="str">
        <f>Errorlog_table[[#This Row],[Description]]</f>
        <v>EpmID:105077| SCN - Lot abort ZH-221D | ZH-221D |</v>
      </c>
      <c r="AA10" s="277"/>
      <c r="AB10" s="278">
        <f ca="1">_xlfn.ISOWEEKNUM(Errorlog_table[[#This Row],[Date]])+52*(Errorlog_table[[#This Row],[Year]]-YEAR(DATE(YEAR(TODAY()-WEEKDAY(TODAY()-1)+4),1,1)-MOD((DATE(YEAR(TODAY()-WEEKDAY(TODAY()-1)+4),1,1)-2),7)+(7*IF(MOD((DATE(YEAR(TODAY()-WEEKDAY(TODAY()-1)+4),1,1)-2),7)&gt;3,1,0))+7) )-_xlfn.ISOWEEKNUM(NOW())</f>
        <v>-37</v>
      </c>
      <c r="AC10" s="277"/>
      <c r="AD10" s="291" t="str">
        <f>TEXT(Errorlog_table[[#This Row],[Date]],"yyyy-mm-dd")&amp;"_"&amp;TEXT(Errorlog_table[[#This Row],[SDT_Timestamp]],"HH:MM:SS")&amp;"_"&amp;Errorlog_table[[#This Row],[System]]</f>
        <v>2024-12-28_06:12:00_GY86</v>
      </c>
      <c r="AE10" s="287" t="str">
        <f>Errorlog_table[[#This Row],[P_Hits]]</f>
        <v>Y</v>
      </c>
      <c r="AF10" s="287">
        <v>0</v>
      </c>
    </row>
    <row r="11" spans="1:32" ht="15">
      <c r="A11" s="369" t="s">
        <v>7</v>
      </c>
      <c r="B11" s="277" t="str">
        <f>VLOOKUP(A11,'5000_Fleet'!A:D,2,FALSE)</f>
        <v>Intel</v>
      </c>
      <c r="C11" s="289" t="s">
        <v>257</v>
      </c>
      <c r="D11" s="289">
        <f>YEAR(DATE(YEAR(Errorlog_table[[#This Row],[Date]]-WEEKDAY(Errorlog_table[[#This Row],[Date]]-1)+4),1,1)-MOD((DATE(YEAR(Errorlog_table[[#This Row],[Date]]-WEEKDAY(Errorlog_table[[#This Row],[Date]]-1)+4),1,1)-2),7)+(7*IF(MOD((DATE(YEAR(Errorlog_table[[#This Row],[Date]]-WEEKDAY(Errorlog_table[[#This Row],[Date]]-1)+4),1,1)-2),7)&gt;3,1,0))+7)</f>
        <v>2024</v>
      </c>
      <c r="E11" s="278">
        <f>VALUE(TEXT(_xlfn.ISOWEEKNUM(Errorlog_table[[#This Row],[Date]]),"00"))</f>
        <v>52</v>
      </c>
      <c r="F11" s="410">
        <f>VALUE((Errorlog_table[[#This Row],[Year]])&amp;TEXT(Errorlog_table[[#This Row],[Week_Number]],"00"))</f>
        <v>202452</v>
      </c>
      <c r="G11" s="370">
        <v>45654</v>
      </c>
      <c r="H11" s="371" t="s">
        <v>258</v>
      </c>
      <c r="I11" s="289" t="s">
        <v>259</v>
      </c>
      <c r="J11" s="289" t="str">
        <f>IF(LEN(VALUE(MID(Errorlog_table[[#This Row],[Description]],FIND(":",Errorlog_table[[#This Row],[Description]])+1,6)))&gt;1,MID(Errorlog_table[[#This Row],[Description]],FIND(":",Errorlog_table[[#This Row],[Description]])+1,6),"")</f>
        <v>105088</v>
      </c>
      <c r="K11" s="280">
        <v>1.933333</v>
      </c>
      <c r="L11" s="277" t="s">
        <v>260</v>
      </c>
      <c r="M11" s="277">
        <v>53016490</v>
      </c>
      <c r="N11" s="277"/>
      <c r="O11" s="281">
        <f t="shared" si="0"/>
        <v>53016490</v>
      </c>
      <c r="P11" s="277">
        <f>LEN(Errorlog_table[[#This Row],[AIR]])</f>
        <v>0</v>
      </c>
      <c r="Q11" t="str" cm="1">
        <f t="array" ref="Q11">IF(OR(Errorlog_table[[#This Row],[AIR]]="n/a",Errorlog_table[[#This Row],[Event_code]]="Y"),"n/a",IF(Errorlog_table[[#This Row],[AIR]]="","no AIR",_xlfn.XLOOKUP(Errorlog_table[[#This Row],[AIR]],AIR_dump[[#All],[Number]],AIR_dump[[#All],[Type]],"not found",0,1)))</f>
        <v>no AIR</v>
      </c>
      <c r="R11" s="282" t="str">
        <f>Errorlog_table[[#This Row],[Description]]</f>
        <v>EpmID:105088| SCN - lot ops failed for mx action | KV-9211 |</v>
      </c>
      <c r="S11" s="347" cm="1">
        <f t="array" ref="S11">_xlfn.XLOOKUP(Errorlog_table[[#This Row],[AIR]],AIR_dump[[#All],[Number]],AIR_dump[[#All],[Close notes]])</f>
        <v>0</v>
      </c>
      <c r="T11" s="372">
        <f>Errorlog_table[[#This Row],[Year_Week_Number]]</f>
        <v>202452</v>
      </c>
      <c r="U11" s="284" t="s">
        <v>239</v>
      </c>
      <c r="V11" s="284" t="s">
        <v>230</v>
      </c>
      <c r="W11" s="285" t="str">
        <f>Errorlog_table[[#This Row],[System]]</f>
        <v>GY86</v>
      </c>
      <c r="X11" s="366">
        <f>Errorlog_table[[#This Row],[link]]</f>
        <v>53016490</v>
      </c>
      <c r="Y11" s="293">
        <f>LEN(Errorlog_table[[#This Row],[P_Hits]])</f>
        <v>1</v>
      </c>
      <c r="Z11" s="277" t="str">
        <f>Errorlog_table[[#This Row],[Description]]</f>
        <v>EpmID:105088| SCN - lot ops failed for mx action | KV-9211 |</v>
      </c>
      <c r="AA11" s="277"/>
      <c r="AB11" s="278">
        <f ca="1">_xlfn.ISOWEEKNUM(Errorlog_table[[#This Row],[Date]])+52*(Errorlog_table[[#This Row],[Year]]-YEAR(DATE(YEAR(TODAY()-WEEKDAY(TODAY()-1)+4),1,1)-MOD((DATE(YEAR(TODAY()-WEEKDAY(TODAY()-1)+4),1,1)-2),7)+(7*IF(MOD((DATE(YEAR(TODAY()-WEEKDAY(TODAY()-1)+4),1,1)-2),7)&gt;3,1,0))+7) )-_xlfn.ISOWEEKNUM(NOW())</f>
        <v>-37</v>
      </c>
      <c r="AC11" s="277"/>
      <c r="AD11" s="291" t="str">
        <f>TEXT(Errorlog_table[[#This Row],[Date]],"yyyy-mm-dd")&amp;"_"&amp;TEXT(Errorlog_table[[#This Row],[SDT_Timestamp]],"HH:MM:SS")&amp;"_"&amp;Errorlog_table[[#This Row],[System]]</f>
        <v>2024-12-28_21:36:00_GY86</v>
      </c>
      <c r="AE11" s="287" t="str">
        <f>Errorlog_table[[#This Row],[P_Hits]]</f>
        <v>N</v>
      </c>
      <c r="AF11" s="287">
        <v>0</v>
      </c>
    </row>
    <row r="12" spans="1:32" ht="28.5">
      <c r="A12" s="369" t="s">
        <v>4</v>
      </c>
      <c r="B12" s="277" t="str">
        <f>VLOOKUP(A12,'5000_Fleet'!A:D,2,FALSE)</f>
        <v>Intel</v>
      </c>
      <c r="C12" s="289" t="s">
        <v>244</v>
      </c>
      <c r="D12" s="289">
        <f>YEAR(DATE(YEAR(Errorlog_table[[#This Row],[Date]]-WEEKDAY(Errorlog_table[[#This Row],[Date]]-1)+4),1,1)-MOD((DATE(YEAR(Errorlog_table[[#This Row],[Date]]-WEEKDAY(Errorlog_table[[#This Row],[Date]]-1)+4),1,1)-2),7)+(7*IF(MOD((DATE(YEAR(Errorlog_table[[#This Row],[Date]]-WEEKDAY(Errorlog_table[[#This Row],[Date]]-1)+4),1,1)-2),7)&gt;3,1,0))+7)</f>
        <v>2024</v>
      </c>
      <c r="E12" s="278">
        <f>VALUE(TEXT(_xlfn.ISOWEEKNUM(Errorlog_table[[#This Row],[Date]]),"00"))</f>
        <v>52</v>
      </c>
      <c r="F12" s="410">
        <f>VALUE((Errorlog_table[[#This Row],[Year]])&amp;TEXT(Errorlog_table[[#This Row],[Week_Number]],"00"))</f>
        <v>202452</v>
      </c>
      <c r="G12" s="370">
        <v>45654</v>
      </c>
      <c r="H12" s="371" t="s">
        <v>261</v>
      </c>
      <c r="I12" s="289" t="s">
        <v>262</v>
      </c>
      <c r="J12" s="289" t="str">
        <f>IF(LEN(VALUE(MID(Errorlog_table[[#This Row],[Description]],FIND(":",Errorlog_table[[#This Row],[Description]])+1,6)))&gt;1,MID(Errorlog_table[[#This Row],[Description]],FIND(":",Errorlog_table[[#This Row],[Description]])+1,6),"")</f>
        <v>105043</v>
      </c>
      <c r="K12" s="280">
        <v>0.76666699999999999</v>
      </c>
      <c r="L12" s="277" t="s">
        <v>234</v>
      </c>
      <c r="M12" s="277">
        <v>53013086</v>
      </c>
      <c r="N12" s="277" t="s">
        <v>235</v>
      </c>
      <c r="O12" s="281" t="str">
        <f t="shared" si="0"/>
        <v>P851510</v>
      </c>
      <c r="P12" s="277">
        <f>LEN(Errorlog_table[[#This Row],[AIR]])</f>
        <v>7</v>
      </c>
      <c r="Q12" cm="1">
        <f t="array" ref="Q12">IF(OR(Errorlog_table[[#This Row],[AIR]]="n/a",Errorlog_table[[#This Row],[Event_code]]="Y"),"n/a",IF(Errorlog_table[[#This Row],[AIR]]="","no AIR",_xlfn.XLOOKUP(Errorlog_table[[#This Row],[AIR]],AIR_dump[[#All],[Number]],AIR_dump[[#All],[Type]],"not found",0,1)))</f>
        <v>0</v>
      </c>
      <c r="R12" s="282" t="str" cm="1">
        <f t="array" ref="R12">IF(OR(Errorlog_table[[#This Row],[AIR]]="n/a",Errorlog_table[[#This Row],[Event_code]]="Y"),"n/a",IF(Errorlog_table[[#This Row],[AIR]]="","no AIR",_xlfn.XLOOKUP(Errorlog_table[[#This Row],[AIR]],AIR_dump[[#All],[Number]],AIR_dump[[#All],[Summary]],"not found",0,1)))</f>
        <v xml:space="preserve"> P851510 - [EXE 5000] [CR51] Request to investigate and add failure mode to DDF: Incorrect or no flow</v>
      </c>
      <c r="S12" s="347" t="str" cm="1">
        <f t="array" ref="S12">_xlfn.XLOOKUP(Errorlog_table[[#This Row],[AIR]],AIR_dump[[#All],[Number]],AIR_dump[[#All],[Close notes]])</f>
        <v>RCA</v>
      </c>
      <c r="T12" s="372">
        <f>Errorlog_table[[#This Row],[Year_Week_Number]]</f>
        <v>202452</v>
      </c>
      <c r="U12" s="284" t="s">
        <v>230</v>
      </c>
      <c r="V12" s="284" t="s">
        <v>230</v>
      </c>
      <c r="W12" s="285" t="str">
        <f>Errorlog_table[[#This Row],[System]]</f>
        <v>CR51</v>
      </c>
      <c r="X12" s="366" t="str">
        <f>Errorlog_table[[#This Row],[link]]</f>
        <v>P851510</v>
      </c>
      <c r="Y12" s="293">
        <f>LEN(Errorlog_table[[#This Row],[P_Hits]])</f>
        <v>1</v>
      </c>
      <c r="Z12" s="277" t="str">
        <f>Errorlog_table[[#This Row],[Description]]</f>
        <v>EpmID:105043| SRC- TRUC RF laser generation driver NOK (Lot Abort) | LAB-002D |</v>
      </c>
      <c r="AA12" s="277"/>
      <c r="AB12" s="278">
        <f ca="1">_xlfn.ISOWEEKNUM(Errorlog_table[[#This Row],[Date]])+52*(Errorlog_table[[#This Row],[Year]]-YEAR(DATE(YEAR(TODAY()-WEEKDAY(TODAY()-1)+4),1,1)-MOD((DATE(YEAR(TODAY()-WEEKDAY(TODAY()-1)+4),1,1)-2),7)+(7*IF(MOD((DATE(YEAR(TODAY()-WEEKDAY(TODAY()-1)+4),1,1)-2),7)&gt;3,1,0))+7) )-_xlfn.ISOWEEKNUM(NOW())</f>
        <v>-37</v>
      </c>
      <c r="AC12" s="277"/>
      <c r="AD12" s="291" t="str">
        <f>TEXT(Errorlog_table[[#This Row],[Date]],"yyyy-mm-dd")&amp;"_"&amp;TEXT(Errorlog_table[[#This Row],[SDT_Timestamp]],"HH:MM:SS")&amp;"_"&amp;Errorlog_table[[#This Row],[System]]</f>
        <v>2024-12-28_02:25:00_CR51</v>
      </c>
      <c r="AE12" s="287" t="str">
        <f>Errorlog_table[[#This Row],[P_Hits]]</f>
        <v>Y</v>
      </c>
      <c r="AF12" s="287">
        <v>0</v>
      </c>
    </row>
    <row r="13" spans="1:32" ht="42.75">
      <c r="A13" s="369" t="s">
        <v>7</v>
      </c>
      <c r="B13" s="277" t="str">
        <f>VLOOKUP(A13,'5000_Fleet'!A:D,2,FALSE)</f>
        <v>Intel</v>
      </c>
      <c r="C13" s="289" t="s">
        <v>251</v>
      </c>
      <c r="D13" s="289">
        <f>YEAR(DATE(YEAR(Errorlog_table[[#This Row],[Date]]-WEEKDAY(Errorlog_table[[#This Row],[Date]]-1)+4),1,1)-MOD((DATE(YEAR(Errorlog_table[[#This Row],[Date]]-WEEKDAY(Errorlog_table[[#This Row],[Date]]-1)+4),1,1)-2),7)+(7*IF(MOD((DATE(YEAR(Errorlog_table[[#This Row],[Date]]-WEEKDAY(Errorlog_table[[#This Row],[Date]]-1)+4),1,1)-2),7)&gt;3,1,0))+7)</f>
        <v>2024</v>
      </c>
      <c r="E13" s="278">
        <f>VALUE(TEXT(_xlfn.ISOWEEKNUM(Errorlog_table[[#This Row],[Date]]),"00"))</f>
        <v>52</v>
      </c>
      <c r="F13" s="410">
        <f>VALUE((Errorlog_table[[#This Row],[Year]])&amp;TEXT(Errorlog_table[[#This Row],[Week_Number]],"00"))</f>
        <v>202452</v>
      </c>
      <c r="G13" s="370">
        <v>45655</v>
      </c>
      <c r="H13" s="371" t="s">
        <v>263</v>
      </c>
      <c r="I13" s="289" t="s">
        <v>264</v>
      </c>
      <c r="J13" s="289" t="str">
        <f>IF(LEN(VALUE(MID(Errorlog_table[[#This Row],[Description]],FIND(":",Errorlog_table[[#This Row],[Description]])+1,6)))&gt;1,MID(Errorlog_table[[#This Row],[Description]],FIND(":",Errorlog_table[[#This Row],[Description]])+1,6),"")</f>
        <v>105050</v>
      </c>
      <c r="K13" s="280">
        <v>2.9166669999999999</v>
      </c>
      <c r="L13" s="277" t="s">
        <v>126</v>
      </c>
      <c r="M13" s="277">
        <v>0</v>
      </c>
      <c r="N13" s="277" t="s">
        <v>254</v>
      </c>
      <c r="O13" s="281" t="str">
        <f t="shared" si="0"/>
        <v>P814232</v>
      </c>
      <c r="P13" s="277">
        <f>LEN(Errorlog_table[[#This Row],[AIR]])</f>
        <v>7</v>
      </c>
      <c r="Q13" t="str" cm="1">
        <f t="array" ref="Q13">IF(OR(Errorlog_table[[#This Row],[AIR]]="n/a",Errorlog_table[[#This Row],[Event_code]]="Y"),"n/a",IF(Errorlog_table[[#This Row],[AIR]]="","no AIR",_xlfn.XLOOKUP(Errorlog_table[[#This Row],[AIR]],AIR_dump[[#All],[Number]],AIR_dump[[#All],[Type]],"not found",0,1)))</f>
        <v>ZK</v>
      </c>
      <c r="R13" s="282" t="str" cm="1">
        <f t="array" ref="R13">IF(OR(Errorlog_table[[#This Row],[AIR]]="n/a",Errorlog_table[[#This Row],[Event_code]]="Y"),"n/a",IF(Errorlog_table[[#This Row],[AIR]]="","no AIR",_xlfn.XLOOKUP(Errorlog_table[[#This Row],[AIR]],AIR_dump[[#All],[Number]],AIR_dump[[#All],[Summary]],"not found",0,1)))</f>
        <v>[EXE][NXE 3800] [NXE3600] -ILIAS PARIS sensor  failing on Destination Violation error</v>
      </c>
      <c r="S13" s="347" t="str" cm="1">
        <f t="array" ref="S13">_xlfn.XLOOKUP(Errorlog_table[[#This Row],[AIR]],AIR_dump[[#All],[Number]],AIR_dump[[#All],[Close notes]])</f>
        <v>[intake 2447]
wk48.5 Test plan available, expecting to test in wk49 (EXE system)</v>
      </c>
      <c r="T13" s="372">
        <f>Errorlog_table[[#This Row],[Year_Week_Number]]</f>
        <v>202452</v>
      </c>
      <c r="U13" s="284" t="s">
        <v>239</v>
      </c>
      <c r="V13" s="284" t="s">
        <v>230</v>
      </c>
      <c r="W13" s="285" t="str">
        <f>Errorlog_table[[#This Row],[System]]</f>
        <v>GY86</v>
      </c>
      <c r="X13" s="366" t="str">
        <f>Errorlog_table[[#This Row],[link]]</f>
        <v>P814232</v>
      </c>
      <c r="Y13" s="293">
        <f>LEN(Errorlog_table[[#This Row],[P_Hits]])</f>
        <v>1</v>
      </c>
      <c r="Z13" s="277" t="str">
        <f>Errorlog_table[[#This Row],[Description]]</f>
        <v>EpmID:105050| SCN - HSSL_failed_during MX | ZH-221D |</v>
      </c>
      <c r="AA13" s="277"/>
      <c r="AB13" s="278">
        <f ca="1">_xlfn.ISOWEEKNUM(Errorlog_table[[#This Row],[Date]])+52*(Errorlog_table[[#This Row],[Year]]-YEAR(DATE(YEAR(TODAY()-WEEKDAY(TODAY()-1)+4),1,1)-MOD((DATE(YEAR(TODAY()-WEEKDAY(TODAY()-1)+4),1,1)-2),7)+(7*IF(MOD((DATE(YEAR(TODAY()-WEEKDAY(TODAY()-1)+4),1,1)-2),7)&gt;3,1,0))+7) )-_xlfn.ISOWEEKNUM(NOW())</f>
        <v>-37</v>
      </c>
      <c r="AC13" s="277"/>
      <c r="AD13" s="291" t="str">
        <f>TEXT(Errorlog_table[[#This Row],[Date]],"yyyy-mm-dd")&amp;"_"&amp;TEXT(Errorlog_table[[#This Row],[SDT_Timestamp]],"HH:MM:SS")&amp;"_"&amp;Errorlog_table[[#This Row],[System]]</f>
        <v>2024-12-29_21:17:00_GY86</v>
      </c>
      <c r="AE13" s="287" t="str">
        <f>Errorlog_table[[#This Row],[P_Hits]]</f>
        <v>N</v>
      </c>
      <c r="AF13" s="287">
        <v>0</v>
      </c>
    </row>
    <row r="14" spans="1:32" ht="30" customHeight="1">
      <c r="A14" s="369" t="s">
        <v>4</v>
      </c>
      <c r="B14" s="277" t="str">
        <f>VLOOKUP(A14,'5000_Fleet'!A:D,2,FALSE)</f>
        <v>Intel</v>
      </c>
      <c r="C14" s="289" t="s">
        <v>265</v>
      </c>
      <c r="D14" s="289">
        <f>YEAR(DATE(YEAR(Errorlog_table[[#This Row],[Date]]-WEEKDAY(Errorlog_table[[#This Row],[Date]]-1)+4),1,1)-MOD((DATE(YEAR(Errorlog_table[[#This Row],[Date]]-WEEKDAY(Errorlog_table[[#This Row],[Date]]-1)+4),1,1)-2),7)+(7*IF(MOD((DATE(YEAR(Errorlog_table[[#This Row],[Date]]-WEEKDAY(Errorlog_table[[#This Row],[Date]]-1)+4),1,1)-2),7)&gt;3,1,0))+7)</f>
        <v>2025</v>
      </c>
      <c r="E14" s="278">
        <f>VALUE(TEXT(_xlfn.ISOWEEKNUM(Errorlog_table[[#This Row],[Date]]),"00"))</f>
        <v>1</v>
      </c>
      <c r="F14" s="410">
        <f>VALUE((Errorlog_table[[#This Row],[Year]])&amp;TEXT(Errorlog_table[[#This Row],[Week_Number]],"00"))</f>
        <v>202501</v>
      </c>
      <c r="G14" s="370">
        <v>45656</v>
      </c>
      <c r="H14" s="371" t="s">
        <v>266</v>
      </c>
      <c r="I14" s="289" t="s">
        <v>267</v>
      </c>
      <c r="J14" s="289" t="str">
        <f>IF(LEN(VALUE(MID(Errorlog_table[[#This Row],[Description]],FIND(":",Errorlog_table[[#This Row],[Description]])+1,6)))&gt;1,MID(Errorlog_table[[#This Row],[Description]],FIND(":",Errorlog_table[[#This Row],[Description]])+1,6),"")</f>
        <v>105018</v>
      </c>
      <c r="K14" s="280">
        <v>4.3166669999999998</v>
      </c>
      <c r="L14" s="277" t="s">
        <v>94</v>
      </c>
      <c r="M14" s="277">
        <v>0</v>
      </c>
      <c r="N14" s="277" t="s">
        <v>268</v>
      </c>
      <c r="O14" s="281" t="str">
        <f t="shared" si="0"/>
        <v>P757279</v>
      </c>
      <c r="P14" s="277">
        <f>LEN(Errorlog_table[[#This Row],[AIR]])</f>
        <v>7</v>
      </c>
      <c r="Q14" cm="1">
        <f t="array" ref="Q14">IF(OR(Errorlog_table[[#This Row],[AIR]]="n/a",Errorlog_table[[#This Row],[Event_code]]="Y"),"n/a",IF(Errorlog_table[[#This Row],[AIR]]="","no AIR",_xlfn.XLOOKUP(Errorlog_table[[#This Row],[AIR]],AIR_dump[[#All],[Number]],AIR_dump[[#All],[Type]],"not found",0,1)))</f>
        <v>0</v>
      </c>
      <c r="R14" s="282" t="str" cm="1">
        <f t="array" ref="R14">IF(OR(Errorlog_table[[#This Row],[AIR]]="n/a",Errorlog_table[[#This Row],[Event_code]]="Y"),"n/a",IF(Errorlog_table[[#This Row],[AIR]]="","no AIR",_xlfn.XLOOKUP(Errorlog_table[[#This Row],[AIR]],AIR_dump[[#All],[Number]],AIR_dump[[#All],[Summary]],"not found",0,1)))</f>
        <v>P757279 - [EXE Proto1] Lot failed with error PG-7404 - CTRL_Z_FORCE_OVER_LI</v>
      </c>
      <c r="S14" s="347" t="str" cm="1">
        <f t="array" ref="S14">_xlfn.XLOOKUP(Errorlog_table[[#This Row],[AIR]],AIR_dump[[#All],[Number]],AIR_dump[[#All],[Close notes]])</f>
        <v>RCA</v>
      </c>
      <c r="T14" s="372">
        <f>Errorlog_table[[#This Row],[Year_Week_Number]]</f>
        <v>202501</v>
      </c>
      <c r="U14" s="284" t="s">
        <v>230</v>
      </c>
      <c r="V14" s="284" t="s">
        <v>230</v>
      </c>
      <c r="W14" s="285" t="str">
        <f>Errorlog_table[[#This Row],[System]]</f>
        <v>CR51</v>
      </c>
      <c r="X14" s="366" t="str">
        <f>Errorlog_table[[#This Row],[link]]</f>
        <v>P757279</v>
      </c>
      <c r="Y14" s="277" t="str">
        <f>Errorlog_table[[#This Row],[Root_Error]]</f>
        <v>RQ-9002</v>
      </c>
      <c r="Z14" s="277" t="str">
        <f>Errorlog_table[[#This Row],[Description]]</f>
        <v>EpmID:105018| SCN - Lot Abort | RQ-9002 |</v>
      </c>
      <c r="AA14" s="277"/>
      <c r="AB14" s="278">
        <f ca="1">_xlfn.ISOWEEKNUM(Errorlog_table[[#This Row],[Date]])+52*(Errorlog_table[[#This Row],[Year]]-YEAR(DATE(YEAR(TODAY()-WEEKDAY(TODAY()-1)+4),1,1)-MOD((DATE(YEAR(TODAY()-WEEKDAY(TODAY()-1)+4),1,1)-2),7)+(7*IF(MOD((DATE(YEAR(TODAY()-WEEKDAY(TODAY()-1)+4),1,1)-2),7)&gt;3,1,0))+7) )-_xlfn.ISOWEEKNUM(NOW())</f>
        <v>-36</v>
      </c>
      <c r="AC14" s="277"/>
      <c r="AD14" s="288" t="str">
        <f>TEXT(Errorlog_table[[#This Row],[Date]],"yyyy-mm-dd")&amp;"_"&amp;TEXT(Errorlog_table[[#This Row],[SDT_Timestamp]],"HH:MM:SS")&amp;"_"&amp;Errorlog_table[[#This Row],[System]]</f>
        <v>2024-12-30_05:22:00_CR51</v>
      </c>
      <c r="AE14" s="287" t="str">
        <f>Errorlog_table[[#This Row],[P_Hits]]</f>
        <v>Y</v>
      </c>
      <c r="AF14" s="287">
        <v>0</v>
      </c>
    </row>
    <row r="15" spans="1:32" ht="28.5">
      <c r="A15" s="369" t="s">
        <v>7</v>
      </c>
      <c r="B15" s="277" t="str">
        <f>VLOOKUP(A15,'5000_Fleet'!A:D,2,FALSE)</f>
        <v>Intel</v>
      </c>
      <c r="C15" s="289" t="s">
        <v>251</v>
      </c>
      <c r="D15" s="289">
        <f>YEAR(DATE(YEAR(Errorlog_table[[#This Row],[Date]]-WEEKDAY(Errorlog_table[[#This Row],[Date]]-1)+4),1,1)-MOD((DATE(YEAR(Errorlog_table[[#This Row],[Date]]-WEEKDAY(Errorlog_table[[#This Row],[Date]]-1)+4),1,1)-2),7)+(7*IF(MOD((DATE(YEAR(Errorlog_table[[#This Row],[Date]]-WEEKDAY(Errorlog_table[[#This Row],[Date]]-1)+4),1,1)-2),7)&gt;3,1,0))+7)</f>
        <v>2025</v>
      </c>
      <c r="E15" s="278">
        <f>VALUE(TEXT(_xlfn.ISOWEEKNUM(Errorlog_table[[#This Row],[Date]]),"00"))</f>
        <v>1</v>
      </c>
      <c r="F15" s="410">
        <f>VALUE((Errorlog_table[[#This Row],[Year]])&amp;TEXT(Errorlog_table[[#This Row],[Week_Number]],"00"))</f>
        <v>202501</v>
      </c>
      <c r="G15" s="370">
        <v>45656</v>
      </c>
      <c r="H15" s="371" t="s">
        <v>269</v>
      </c>
      <c r="I15" s="289" t="s">
        <v>270</v>
      </c>
      <c r="J15" s="289" t="str">
        <f>IF(LEN(VALUE(MID(Errorlog_table[[#This Row],[Description]],FIND(":",Errorlog_table[[#This Row],[Description]])+1,6)))&gt;1,MID(Errorlog_table[[#This Row],[Description]],FIND(":",Errorlog_table[[#This Row],[Description]])+1,6),"")</f>
        <v>105047</v>
      </c>
      <c r="K15" s="280">
        <v>4.233333</v>
      </c>
      <c r="L15" s="277" t="s">
        <v>126</v>
      </c>
      <c r="M15" s="277">
        <v>0</v>
      </c>
      <c r="N15" s="287" t="s">
        <v>271</v>
      </c>
      <c r="O15" s="281" t="str">
        <f t="shared" si="0"/>
        <v>P853275</v>
      </c>
      <c r="P15" s="277">
        <f>LEN(Errorlog_table[[#This Row],[AIR]])</f>
        <v>7</v>
      </c>
      <c r="Q15" cm="1">
        <f t="array" ref="Q15">IF(OR(Errorlog_table[[#This Row],[AIR]]="n/a",Errorlog_table[[#This Row],[Event_code]]="Y"),"n/a",IF(Errorlog_table[[#This Row],[AIR]]="","no AIR",_xlfn.XLOOKUP(Errorlog_table[[#This Row],[AIR]],AIR_dump[[#All],[Number]],AIR_dump[[#All],[Type]],"not found",0,1)))</f>
        <v>0</v>
      </c>
      <c r="R15" s="282" t="str" cm="1">
        <f t="array" ref="R15">IF(OR(Errorlog_table[[#This Row],[AIR]]="n/a",Errorlog_table[[#This Row],[Event_code]]="Y"),"n/a",IF(Errorlog_table[[#This Row],[AIR]]="","no AIR",_xlfn.XLOOKUP(Errorlog_table[[#This Row],[AIR]],AIR_dump[[#All],[Number]],AIR_dump[[#All],[Summary]],"not found",0,1)))</f>
        <v>P853275 - NXE:3800E and EXE:5000 Destination Violation Error ZH-221D</v>
      </c>
      <c r="S15" s="347" t="str" cm="1">
        <f t="array" ref="S15">_xlfn.XLOOKUP(Errorlog_table[[#This Row],[AIR]],AIR_dump[[#All],[Number]],AIR_dump[[#All],[Close notes]])</f>
        <v>Firmware delivered W19 (COB swap done)</v>
      </c>
      <c r="T15" s="372">
        <f>Errorlog_table[[#This Row],[Year_Week_Number]]</f>
        <v>202501</v>
      </c>
      <c r="U15" s="284" t="s">
        <v>230</v>
      </c>
      <c r="V15" s="284" t="s">
        <v>230</v>
      </c>
      <c r="W15" s="285" t="str">
        <f>Errorlog_table[[#This Row],[System]]</f>
        <v>GY86</v>
      </c>
      <c r="X15" s="366" t="str">
        <f>Errorlog_table[[#This Row],[link]]</f>
        <v>P853275</v>
      </c>
      <c r="Y15" s="277" t="str">
        <f>Errorlog_table[[#This Row],[Root_Error]]</f>
        <v>ZH-221D</v>
      </c>
      <c r="Z15" s="277" t="str">
        <f>Errorlog_table[[#This Row],[Description]]</f>
        <v>EpmID:105047| SCN - lot abort Ilias sensor | ZH-221D |</v>
      </c>
      <c r="AA15" s="277"/>
      <c r="AB15" s="278">
        <f ca="1">_xlfn.ISOWEEKNUM(Errorlog_table[[#This Row],[Date]])+52*(Errorlog_table[[#This Row],[Year]]-YEAR(DATE(YEAR(TODAY()-WEEKDAY(TODAY()-1)+4),1,1)-MOD((DATE(YEAR(TODAY()-WEEKDAY(TODAY()-1)+4),1,1)-2),7)+(7*IF(MOD((DATE(YEAR(TODAY()-WEEKDAY(TODAY()-1)+4),1,1)-2),7)&gt;3,1,0))+7) )-_xlfn.ISOWEEKNUM(NOW())</f>
        <v>-36</v>
      </c>
      <c r="AC15" s="277"/>
      <c r="AD15" s="288" t="str">
        <f>TEXT(Errorlog_table[[#This Row],[Date]],"yyyy-mm-dd")&amp;"_"&amp;TEXT(Errorlog_table[[#This Row],[SDT_Timestamp]],"HH:MM:SS")&amp;"_"&amp;Errorlog_table[[#This Row],[System]]</f>
        <v>2024-12-30_06:50:00_GY86</v>
      </c>
      <c r="AE15" s="287" t="str">
        <f>Errorlog_table[[#This Row],[P_Hits]]</f>
        <v>Y</v>
      </c>
      <c r="AF15" s="287">
        <v>0</v>
      </c>
    </row>
    <row r="16" spans="1:32" ht="28.5">
      <c r="A16" s="369" t="s">
        <v>7</v>
      </c>
      <c r="B16" s="277" t="str">
        <f>VLOOKUP(A16,'5000_Fleet'!A:D,2,FALSE)</f>
        <v>Intel</v>
      </c>
      <c r="C16" s="289" t="s">
        <v>251</v>
      </c>
      <c r="D16" s="289">
        <f>YEAR(DATE(YEAR(Errorlog_table[[#This Row],[Date]]-WEEKDAY(Errorlog_table[[#This Row],[Date]]-1)+4),1,1)-MOD((DATE(YEAR(Errorlog_table[[#This Row],[Date]]-WEEKDAY(Errorlog_table[[#This Row],[Date]]-1)+4),1,1)-2),7)+(7*IF(MOD((DATE(YEAR(Errorlog_table[[#This Row],[Date]]-WEEKDAY(Errorlog_table[[#This Row],[Date]]-1)+4),1,1)-2),7)&gt;3,1,0))+7)</f>
        <v>2025</v>
      </c>
      <c r="E16" s="278">
        <f>VALUE(TEXT(_xlfn.ISOWEEKNUM(Errorlog_table[[#This Row],[Date]]),"00"))</f>
        <v>1</v>
      </c>
      <c r="F16" s="410">
        <f>VALUE((Errorlog_table[[#This Row],[Year]])&amp;TEXT(Errorlog_table[[#This Row],[Week_Number]],"00"))</f>
        <v>202501</v>
      </c>
      <c r="G16" s="370">
        <v>45656</v>
      </c>
      <c r="H16" s="371" t="s">
        <v>272</v>
      </c>
      <c r="I16" s="289" t="s">
        <v>273</v>
      </c>
      <c r="J16" s="289" t="str">
        <f>IF(LEN(VALUE(MID(Errorlog_table[[#This Row],[Description]],FIND(":",Errorlog_table[[#This Row],[Description]])+1,6)))&gt;1,MID(Errorlog_table[[#This Row],[Description]],FIND(":",Errorlog_table[[#This Row],[Description]])+1,6),"")</f>
        <v>105083</v>
      </c>
      <c r="K16" s="280">
        <v>1.0833330000000001</v>
      </c>
      <c r="L16" s="277" t="s">
        <v>126</v>
      </c>
      <c r="M16" s="277">
        <v>0</v>
      </c>
      <c r="N16" s="287" t="s">
        <v>271</v>
      </c>
      <c r="O16" s="281" t="str">
        <f t="shared" si="0"/>
        <v>P853275</v>
      </c>
      <c r="P16" s="277">
        <f>LEN(Errorlog_table[[#This Row],[AIR]])</f>
        <v>7</v>
      </c>
      <c r="Q16" cm="1">
        <f t="array" ref="Q16">IF(OR(Errorlog_table[[#This Row],[AIR]]="n/a",Errorlog_table[[#This Row],[Event_code]]="Y"),"n/a",IF(Errorlog_table[[#This Row],[AIR]]="","no AIR",_xlfn.XLOOKUP(Errorlog_table[[#This Row],[AIR]],AIR_dump[[#All],[Number]],AIR_dump[[#All],[Type]],"not found",0,1)))</f>
        <v>0</v>
      </c>
      <c r="R16" s="282" t="str" cm="1">
        <f t="array" ref="R16">IF(OR(Errorlog_table[[#This Row],[AIR]]="n/a",Errorlog_table[[#This Row],[Event_code]]="Y"),"n/a",IF(Errorlog_table[[#This Row],[AIR]]="","no AIR",_xlfn.XLOOKUP(Errorlog_table[[#This Row],[AIR]],AIR_dump[[#All],[Number]],AIR_dump[[#All],[Summary]],"not found",0,1)))</f>
        <v>P853275 - NXE:3800E and EXE:5000 Destination Violation Error ZH-221D</v>
      </c>
      <c r="S16" s="347" t="str" cm="1">
        <f t="array" ref="S16">_xlfn.XLOOKUP(Errorlog_table[[#This Row],[AIR]],AIR_dump[[#All],[Number]],AIR_dump[[#All],[Close notes]])</f>
        <v>Firmware delivered W19 (COB swap done)</v>
      </c>
      <c r="T16" s="372">
        <f>Errorlog_table[[#This Row],[Year_Week_Number]]</f>
        <v>202501</v>
      </c>
      <c r="U16" s="284" t="s">
        <v>230</v>
      </c>
      <c r="V16" s="284" t="s">
        <v>230</v>
      </c>
      <c r="W16" s="285" t="str">
        <f>Errorlog_table[[#This Row],[System]]</f>
        <v>GY86</v>
      </c>
      <c r="X16" s="366" t="str">
        <f>Errorlog_table[[#This Row],[link]]</f>
        <v>P853275</v>
      </c>
      <c r="Y16" s="277" t="str">
        <f>Errorlog_table[[#This Row],[Root_Error]]</f>
        <v>ZH-221D</v>
      </c>
      <c r="Z16" s="277" t="str">
        <f>Errorlog_table[[#This Row],[Description]]</f>
        <v>EpmID:105083| SCN - lot abort Ilias sensor | ZH-221D |</v>
      </c>
      <c r="AA16" s="277"/>
      <c r="AB16" s="278">
        <f ca="1">_xlfn.ISOWEEKNUM(Errorlog_table[[#This Row],[Date]])+52*(Errorlog_table[[#This Row],[Year]]-YEAR(DATE(YEAR(TODAY()-WEEKDAY(TODAY()-1)+4),1,1)-MOD((DATE(YEAR(TODAY()-WEEKDAY(TODAY()-1)+4),1,1)-2),7)+(7*IF(MOD((DATE(YEAR(TODAY()-WEEKDAY(TODAY()-1)+4),1,1)-2),7)&gt;3,1,0))+7) )-_xlfn.ISOWEEKNUM(NOW())</f>
        <v>-36</v>
      </c>
      <c r="AC16" s="277"/>
      <c r="AD16" s="288" t="str">
        <f>TEXT(Errorlog_table[[#This Row],[Date]],"yyyy-mm-dd")&amp;"_"&amp;TEXT(Errorlog_table[[#This Row],[SDT_Timestamp]],"HH:MM:SS")&amp;"_"&amp;Errorlog_table[[#This Row],[System]]</f>
        <v>2024-12-30_17:48:00_GY86</v>
      </c>
      <c r="AE16" s="287" t="str">
        <f>Errorlog_table[[#This Row],[P_Hits]]</f>
        <v>Y</v>
      </c>
      <c r="AF16" s="287">
        <v>0</v>
      </c>
    </row>
    <row r="17" spans="1:32" ht="28.5">
      <c r="A17" s="369" t="s">
        <v>7</v>
      </c>
      <c r="B17" s="277" t="str">
        <f>VLOOKUP(A17,'5000_Fleet'!A:D,2,FALSE)</f>
        <v>Intel</v>
      </c>
      <c r="C17" s="289" t="s">
        <v>251</v>
      </c>
      <c r="D17" s="289">
        <f>YEAR(DATE(YEAR(Errorlog_table[[#This Row],[Date]]-WEEKDAY(Errorlog_table[[#This Row],[Date]]-1)+4),1,1)-MOD((DATE(YEAR(Errorlog_table[[#This Row],[Date]]-WEEKDAY(Errorlog_table[[#This Row],[Date]]-1)+4),1,1)-2),7)+(7*IF(MOD((DATE(YEAR(Errorlog_table[[#This Row],[Date]]-WEEKDAY(Errorlog_table[[#This Row],[Date]]-1)+4),1,1)-2),7)&gt;3,1,0))+7)</f>
        <v>2025</v>
      </c>
      <c r="E17" s="278">
        <f>VALUE(TEXT(_xlfn.ISOWEEKNUM(Errorlog_table[[#This Row],[Date]]),"00"))</f>
        <v>1</v>
      </c>
      <c r="F17" s="410">
        <f>VALUE((Errorlog_table[[#This Row],[Year]])&amp;TEXT(Errorlog_table[[#This Row],[Week_Number]],"00"))</f>
        <v>202501</v>
      </c>
      <c r="G17" s="370">
        <v>45657</v>
      </c>
      <c r="H17" s="371" t="s">
        <v>274</v>
      </c>
      <c r="I17" s="289" t="s">
        <v>275</v>
      </c>
      <c r="J17" s="289" t="str">
        <f>IF(LEN(VALUE(MID(Errorlog_table[[#This Row],[Description]],FIND(":",Errorlog_table[[#This Row],[Description]])+1,6)))&gt;1,MID(Errorlog_table[[#This Row],[Description]],FIND(":",Errorlog_table[[#This Row],[Description]])+1,6),"")</f>
        <v>105045</v>
      </c>
      <c r="K17" s="280">
        <v>4.3666669999999996</v>
      </c>
      <c r="L17" s="277" t="s">
        <v>126</v>
      </c>
      <c r="M17" s="277">
        <v>0</v>
      </c>
      <c r="N17" s="287" t="s">
        <v>271</v>
      </c>
      <c r="O17" s="281" t="str">
        <f t="shared" si="0"/>
        <v>P853275</v>
      </c>
      <c r="P17" s="277">
        <f>LEN(Errorlog_table[[#This Row],[AIR]])</f>
        <v>7</v>
      </c>
      <c r="Q17" cm="1">
        <f t="array" ref="Q17">IF(OR(Errorlog_table[[#This Row],[AIR]]="n/a",Errorlog_table[[#This Row],[Event_code]]="Y"),"n/a",IF(Errorlog_table[[#This Row],[AIR]]="","no AIR",_xlfn.XLOOKUP(Errorlog_table[[#This Row],[AIR]],AIR_dump[[#All],[Number]],AIR_dump[[#All],[Type]],"not found",0,1)))</f>
        <v>0</v>
      </c>
      <c r="R17" s="282" t="str" cm="1">
        <f t="array" ref="R17">IF(OR(Errorlog_table[[#This Row],[AIR]]="n/a",Errorlog_table[[#This Row],[Event_code]]="Y"),"n/a",IF(Errorlog_table[[#This Row],[AIR]]="","no AIR",_xlfn.XLOOKUP(Errorlog_table[[#This Row],[AIR]],AIR_dump[[#All],[Number]],AIR_dump[[#All],[Summary]],"not found",0,1)))</f>
        <v>P853275 - NXE:3800E and EXE:5000 Destination Violation Error ZH-221D</v>
      </c>
      <c r="S17" s="347" t="str" cm="1">
        <f t="array" ref="S17">_xlfn.XLOOKUP(Errorlog_table[[#This Row],[AIR]],AIR_dump[[#All],[Number]],AIR_dump[[#All],[Close notes]])</f>
        <v>Firmware delivered W19 (COB swap done)</v>
      </c>
      <c r="T17" s="372">
        <f>Errorlog_table[[#This Row],[Year_Week_Number]]</f>
        <v>202501</v>
      </c>
      <c r="U17" s="284" t="s">
        <v>230</v>
      </c>
      <c r="V17" s="284" t="s">
        <v>230</v>
      </c>
      <c r="W17" s="285" t="str">
        <f>Errorlog_table[[#This Row],[System]]</f>
        <v>GY86</v>
      </c>
      <c r="X17" s="366" t="str">
        <f>Errorlog_table[[#This Row],[link]]</f>
        <v>P853275</v>
      </c>
      <c r="Y17" s="277" t="str">
        <f>Errorlog_table[[#This Row],[Root_Error]]</f>
        <v>ZH-221D</v>
      </c>
      <c r="Z17" s="277" t="str">
        <f>Errorlog_table[[#This Row],[Description]]</f>
        <v>EpmID:105045| SCN - ZH-221D Recovery and Containment (Lot Abort) | ZH-221D |</v>
      </c>
      <c r="AA17" s="277"/>
      <c r="AB17" s="278">
        <f ca="1">_xlfn.ISOWEEKNUM(Errorlog_table[[#This Row],[Date]])+52*(Errorlog_table[[#This Row],[Year]]-YEAR(DATE(YEAR(TODAY()-WEEKDAY(TODAY()-1)+4),1,1)-MOD((DATE(YEAR(TODAY()-WEEKDAY(TODAY()-1)+4),1,1)-2),7)+(7*IF(MOD((DATE(YEAR(TODAY()-WEEKDAY(TODAY()-1)+4),1,1)-2),7)&gt;3,1,0))+7) )-_xlfn.ISOWEEKNUM(NOW())</f>
        <v>-36</v>
      </c>
      <c r="AC17" s="277"/>
      <c r="AD17" s="288" t="str">
        <f>TEXT(Errorlog_table[[#This Row],[Date]],"yyyy-mm-dd")&amp;"_"&amp;TEXT(Errorlog_table[[#This Row],[SDT_Timestamp]],"HH:MM:SS")&amp;"_"&amp;Errorlog_table[[#This Row],[System]]</f>
        <v>2024-12-31_20:59:00_GY86</v>
      </c>
      <c r="AE17" s="287" t="str">
        <f>Errorlog_table[[#This Row],[P_Hits]]</f>
        <v>Y</v>
      </c>
      <c r="AF17" s="287">
        <v>0</v>
      </c>
    </row>
    <row r="18" spans="1:32" ht="28.5">
      <c r="A18" s="369" t="s">
        <v>4</v>
      </c>
      <c r="B18" s="277" t="str">
        <f>VLOOKUP(A18,'5000_Fleet'!A:D,2,FALSE)</f>
        <v>Intel</v>
      </c>
      <c r="C18" s="289" t="s">
        <v>276</v>
      </c>
      <c r="D18" s="289">
        <f>YEAR(DATE(YEAR(Errorlog_table[[#This Row],[Date]]-WEEKDAY(Errorlog_table[[#This Row],[Date]]-1)+4),1,1)-MOD((DATE(YEAR(Errorlog_table[[#This Row],[Date]]-WEEKDAY(Errorlog_table[[#This Row],[Date]]-1)+4),1,1)-2),7)+(7*IF(MOD((DATE(YEAR(Errorlog_table[[#This Row],[Date]]-WEEKDAY(Errorlog_table[[#This Row],[Date]]-1)+4),1,1)-2),7)&gt;3,1,0))+7)</f>
        <v>2025</v>
      </c>
      <c r="E18" s="278">
        <f>VALUE(TEXT(_xlfn.ISOWEEKNUM(Errorlog_table[[#This Row],[Date]]),"00"))</f>
        <v>1</v>
      </c>
      <c r="F18" s="410">
        <f>VALUE((Errorlog_table[[#This Row],[Year]])&amp;TEXT(Errorlog_table[[#This Row],[Week_Number]],"00"))</f>
        <v>202501</v>
      </c>
      <c r="G18" s="370">
        <v>45657</v>
      </c>
      <c r="H18" s="371" t="s">
        <v>277</v>
      </c>
      <c r="I18" s="289" t="s">
        <v>278</v>
      </c>
      <c r="J18" s="289" t="str">
        <f>IF(LEN(VALUE(MID(Errorlog_table[[#This Row],[Description]],FIND(":",Errorlog_table[[#This Row],[Description]])+1,6)))&gt;1,MID(Errorlog_table[[#This Row],[Description]],FIND(":",Errorlog_table[[#This Row],[Description]])+1,6),"")</f>
        <v>104984</v>
      </c>
      <c r="K18" s="280">
        <v>0.5</v>
      </c>
      <c r="L18" s="277" t="s">
        <v>118</v>
      </c>
      <c r="M18" s="277">
        <v>0</v>
      </c>
      <c r="N18" s="277" t="s">
        <v>279</v>
      </c>
      <c r="O18" s="281" t="str">
        <f t="shared" si="0"/>
        <v>Lot Failed to Start</v>
      </c>
      <c r="P18" s="277">
        <f>LEN(Errorlog_table[[#This Row],[AIR]])</f>
        <v>19</v>
      </c>
      <c r="Q18" t="str" cm="1">
        <f t="array" ref="Q18">IF(OR(Errorlog_table[[#This Row],[AIR]]="n/a",Errorlog_table[[#This Row],[Event_code]]="Y"),"n/a",IF(Errorlog_table[[#This Row],[AIR]]="","no AIR",_xlfn.XLOOKUP(Errorlog_table[[#This Row],[AIR]],AIR_dump[[#All],[Number]],AIR_dump[[#All],[Type]],"not found",0,1)))</f>
        <v>not found</v>
      </c>
      <c r="R18" s="282" t="str">
        <f>Errorlog_table[[#This Row],[Description]]</f>
        <v>EpmID:104984| SCN - Refresh Closing wafer | WH-2626 | Scanner Repairs</v>
      </c>
      <c r="S18" s="347" t="e" cm="1">
        <f t="array" ref="S18">_xlfn.XLOOKUP(Errorlog_table[[#This Row],[AIR]],AIR_dump[[#All],[Number]],AIR_dump[[#All],[Close notes]])</f>
        <v>#N/A</v>
      </c>
      <c r="T18" s="372">
        <f>Errorlog_table[[#This Row],[Year_Week_Number]]</f>
        <v>202501</v>
      </c>
      <c r="U18" s="284" t="s">
        <v>239</v>
      </c>
      <c r="V18" s="284" t="s">
        <v>230</v>
      </c>
      <c r="W18" s="285" t="str">
        <f>Errorlog_table[[#This Row],[System]]</f>
        <v>CR51</v>
      </c>
      <c r="X18" s="366" t="str">
        <f>Errorlog_table[[#This Row],[link]]</f>
        <v>Lot Failed to Start</v>
      </c>
      <c r="Y18" s="277" t="str">
        <f>Errorlog_table[[#This Row],[Root_Error]]</f>
        <v>WH-2626</v>
      </c>
      <c r="Z18" s="277" t="str">
        <f>Errorlog_table[[#This Row],[Description]]</f>
        <v>EpmID:104984| SCN - Refresh Closing wafer | WH-2626 | Scanner Repairs</v>
      </c>
      <c r="AA18" s="277"/>
      <c r="AB18" s="278">
        <f ca="1">_xlfn.ISOWEEKNUM(Errorlog_table[[#This Row],[Date]])+52*(Errorlog_table[[#This Row],[Year]]-YEAR(DATE(YEAR(TODAY()-WEEKDAY(TODAY()-1)+4),1,1)-MOD((DATE(YEAR(TODAY()-WEEKDAY(TODAY()-1)+4),1,1)-2),7)+(7*IF(MOD((DATE(YEAR(TODAY()-WEEKDAY(TODAY()-1)+4),1,1)-2),7)&gt;3,1,0))+7) )-_xlfn.ISOWEEKNUM(NOW())</f>
        <v>-36</v>
      </c>
      <c r="AC18" s="277"/>
      <c r="AD18" s="288" t="str">
        <f>TEXT(Errorlog_table[[#This Row],[Date]],"yyyy-mm-dd")&amp;"_"&amp;TEXT(Errorlog_table[[#This Row],[SDT_Timestamp]],"HH:MM:SS")&amp;"_"&amp;Errorlog_table[[#This Row],[System]]</f>
        <v>2024-12-31_00:30:00_CR51</v>
      </c>
      <c r="AE18" s="287" t="str">
        <f>Errorlog_table[[#This Row],[P_Hits]]</f>
        <v>N</v>
      </c>
      <c r="AF18" s="287">
        <v>0</v>
      </c>
    </row>
    <row r="19" spans="1:32" ht="28.5">
      <c r="A19" s="369" t="s">
        <v>7</v>
      </c>
      <c r="B19" s="277" t="str">
        <f>VLOOKUP(A19,'5000_Fleet'!A:D,2,FALSE)</f>
        <v>Intel</v>
      </c>
      <c r="C19" s="289" t="s">
        <v>280</v>
      </c>
      <c r="D19" s="289">
        <f>YEAR(DATE(YEAR(Errorlog_table[[#This Row],[Date]]-WEEKDAY(Errorlog_table[[#This Row],[Date]]-1)+4),1,1)-MOD((DATE(YEAR(Errorlog_table[[#This Row],[Date]]-WEEKDAY(Errorlog_table[[#This Row],[Date]]-1)+4),1,1)-2),7)+(7*IF(MOD((DATE(YEAR(Errorlog_table[[#This Row],[Date]]-WEEKDAY(Errorlog_table[[#This Row],[Date]]-1)+4),1,1)-2),7)&gt;3,1,0))+7)</f>
        <v>2025</v>
      </c>
      <c r="E19" s="278">
        <f>VALUE(TEXT(_xlfn.ISOWEEKNUM(Errorlog_table[[#This Row],[Date]]),"00"))</f>
        <v>1</v>
      </c>
      <c r="F19" s="410">
        <f>VALUE((Errorlog_table[[#This Row],[Year]])&amp;TEXT(Errorlog_table[[#This Row],[Week_Number]],"00"))</f>
        <v>202501</v>
      </c>
      <c r="G19" s="370">
        <v>45658</v>
      </c>
      <c r="H19" s="371" t="s">
        <v>281</v>
      </c>
      <c r="I19" s="289" t="s">
        <v>282</v>
      </c>
      <c r="J19" s="289" t="str">
        <f>IF(LEN(VALUE(MID(Errorlog_table[[#This Row],[Description]],FIND(":",Errorlog_table[[#This Row],[Description]])+1,6)))&gt;1,MID(Errorlog_table[[#This Row],[Description]],FIND(":",Errorlog_table[[#This Row],[Description]])+1,6),"")</f>
        <v>105061</v>
      </c>
      <c r="K19" s="280">
        <v>4.6833330000000002</v>
      </c>
      <c r="L19" s="277" t="s">
        <v>114</v>
      </c>
      <c r="M19" s="277">
        <v>0</v>
      </c>
      <c r="N19" s="277" t="s">
        <v>283</v>
      </c>
      <c r="O19" s="281" t="str">
        <f t="shared" si="0"/>
        <v>P839414</v>
      </c>
      <c r="P19" s="277">
        <f>LEN(Errorlog_table[[#This Row],[AIR]])</f>
        <v>7</v>
      </c>
      <c r="Q19" cm="1">
        <f t="array" ref="Q19">IF(OR(Errorlog_table[[#This Row],[AIR]]="n/a",Errorlog_table[[#This Row],[Event_code]]="Y"),"n/a",IF(Errorlog_table[[#This Row],[AIR]]="","no AIR",_xlfn.XLOOKUP(Errorlog_table[[#This Row],[AIR]],AIR_dump[[#All],[Number]],AIR_dump[[#All],[Type]],"not found",0,1)))</f>
        <v>0</v>
      </c>
      <c r="R19" s="282" t="str" cm="1">
        <f t="array" ref="R19">IF(OR(Errorlog_table[[#This Row],[AIR]]="n/a",Errorlog_table[[#This Row],[Event_code]]="Y"),"n/a",IF(Errorlog_table[[#This Row],[AIR]]="","no AIR",_xlfn.XLOOKUP(Errorlog_table[[#This Row],[AIR]],AIR_dump[[#All],[Number]],AIR_dump[[#All],[Summary]],"not found",0,1)))</f>
        <v>P839414 - ZF-4392 Communication failure on GY86, Exception handling needed.</v>
      </c>
      <c r="S19" s="347" t="str" cm="1">
        <f t="array" ref="S19">_xlfn.XLOOKUP(Errorlog_table[[#This Row],[AIR]],AIR_dump[[#All],[Number]],AIR_dump[[#All],[Close notes]])</f>
        <v>RCA</v>
      </c>
      <c r="T19" s="372">
        <f>Errorlog_table[[#This Row],[Year_Week_Number]]</f>
        <v>202501</v>
      </c>
      <c r="U19" s="284" t="s">
        <v>230</v>
      </c>
      <c r="V19" s="284" t="s">
        <v>230</v>
      </c>
      <c r="W19" s="285" t="str">
        <f>Errorlog_table[[#This Row],[System]]</f>
        <v>GY86</v>
      </c>
      <c r="X19" s="366" t="str">
        <f>Errorlog_table[[#This Row],[link]]</f>
        <v>P839414</v>
      </c>
      <c r="Y19" s="277" t="str">
        <f>Errorlog_table[[#This Row],[Root_Error]]</f>
        <v>ZF-4392</v>
      </c>
      <c r="Z19" s="277" t="str">
        <f>Errorlog_table[[#This Row],[Description]]</f>
        <v>EpmID:105061| SCN - lot aborted by ZF-4392 | ZF-4392 |</v>
      </c>
      <c r="AA19" s="277"/>
      <c r="AB19" s="278">
        <f ca="1">_xlfn.ISOWEEKNUM(Errorlog_table[[#This Row],[Date]])+52*(Errorlog_table[[#This Row],[Year]]-YEAR(DATE(YEAR(TODAY()-WEEKDAY(TODAY()-1)+4),1,1)-MOD((DATE(YEAR(TODAY()-WEEKDAY(TODAY()-1)+4),1,1)-2),7)+(7*IF(MOD((DATE(YEAR(TODAY()-WEEKDAY(TODAY()-1)+4),1,1)-2),7)&gt;3,1,0))+7) )-_xlfn.ISOWEEKNUM(NOW())</f>
        <v>-36</v>
      </c>
      <c r="AC19" s="277"/>
      <c r="AD19" s="288" t="str">
        <f>TEXT(Errorlog_table[[#This Row],[Date]],"yyyy-mm-dd")&amp;"_"&amp;TEXT(Errorlog_table[[#This Row],[SDT_Timestamp]],"HH:MM:SS")&amp;"_"&amp;Errorlog_table[[#This Row],[System]]</f>
        <v>2025-01-01_12:43:00_GY86</v>
      </c>
      <c r="AE19" s="287" t="str">
        <f>Errorlog_table[[#This Row],[P_Hits]]</f>
        <v>Y</v>
      </c>
      <c r="AF19" s="287">
        <v>0</v>
      </c>
    </row>
    <row r="20" spans="1:32" ht="28.5">
      <c r="A20" s="369" t="s">
        <v>7</v>
      </c>
      <c r="B20" s="277" t="str">
        <f>VLOOKUP(A20,'5000_Fleet'!A:D,2,FALSE)</f>
        <v>Intel</v>
      </c>
      <c r="C20" s="289" t="s">
        <v>251</v>
      </c>
      <c r="D20" s="289">
        <f>YEAR(DATE(YEAR(Errorlog_table[[#This Row],[Date]]-WEEKDAY(Errorlog_table[[#This Row],[Date]]-1)+4),1,1)-MOD((DATE(YEAR(Errorlog_table[[#This Row],[Date]]-WEEKDAY(Errorlog_table[[#This Row],[Date]]-1)+4),1,1)-2),7)+(7*IF(MOD((DATE(YEAR(Errorlog_table[[#This Row],[Date]]-WEEKDAY(Errorlog_table[[#This Row],[Date]]-1)+4),1,1)-2),7)&gt;3,1,0))+7)</f>
        <v>2025</v>
      </c>
      <c r="E20" s="278">
        <f>VALUE(TEXT(_xlfn.ISOWEEKNUM(Errorlog_table[[#This Row],[Date]]),"00"))</f>
        <v>1</v>
      </c>
      <c r="F20" s="410">
        <f>VALUE((Errorlog_table[[#This Row],[Year]])&amp;TEXT(Errorlog_table[[#This Row],[Week_Number]],"00"))</f>
        <v>202501</v>
      </c>
      <c r="G20" s="370">
        <v>45658</v>
      </c>
      <c r="H20" s="371" t="s">
        <v>284</v>
      </c>
      <c r="I20" s="289" t="s">
        <v>285</v>
      </c>
      <c r="J20" s="289" t="str">
        <f>IF(LEN(VALUE(MID(Errorlog_table[[#This Row],[Description]],FIND(":",Errorlog_table[[#This Row],[Description]])+1,6)))&gt;1,MID(Errorlog_table[[#This Row],[Description]],FIND(":",Errorlog_table[[#This Row],[Description]])+1,6),"")</f>
        <v>105058</v>
      </c>
      <c r="K20" s="280">
        <v>0.81666700000000003</v>
      </c>
      <c r="L20" s="277" t="s">
        <v>126</v>
      </c>
      <c r="M20" s="277">
        <v>0</v>
      </c>
      <c r="N20" s="287" t="s">
        <v>271</v>
      </c>
      <c r="O20" s="281" t="str">
        <f t="shared" si="0"/>
        <v>P853275</v>
      </c>
      <c r="P20" s="277">
        <f>LEN(Errorlog_table[[#This Row],[AIR]])</f>
        <v>7</v>
      </c>
      <c r="Q20" cm="1">
        <f t="array" ref="Q20">IF(OR(Errorlog_table[[#This Row],[AIR]]="n/a",Errorlog_table[[#This Row],[Event_code]]="Y"),"n/a",IF(Errorlog_table[[#This Row],[AIR]]="","no AIR",_xlfn.XLOOKUP(Errorlog_table[[#This Row],[AIR]],AIR_dump[[#All],[Number]],AIR_dump[[#All],[Type]],"not found",0,1)))</f>
        <v>0</v>
      </c>
      <c r="R20" s="282" t="str" cm="1">
        <f t="array" ref="R20">IF(OR(Errorlog_table[[#This Row],[AIR]]="n/a",Errorlog_table[[#This Row],[Event_code]]="Y"),"n/a",IF(Errorlog_table[[#This Row],[AIR]]="","no AIR",_xlfn.XLOOKUP(Errorlog_table[[#This Row],[AIR]],AIR_dump[[#All],[Number]],AIR_dump[[#All],[Summary]],"not found",0,1)))</f>
        <v>P853275 - NXE:3800E and EXE:5000 Destination Violation Error ZH-221D</v>
      </c>
      <c r="S20" s="347" t="str" cm="1">
        <f t="array" ref="S20">_xlfn.XLOOKUP(Errorlog_table[[#This Row],[AIR]],AIR_dump[[#All],[Number]],AIR_dump[[#All],[Close notes]])</f>
        <v>Firmware delivered W19 (COB swap done)</v>
      </c>
      <c r="T20" s="372">
        <f>Errorlog_table[[#This Row],[Year_Week_Number]]</f>
        <v>202501</v>
      </c>
      <c r="U20" s="284" t="s">
        <v>230</v>
      </c>
      <c r="V20" s="284" t="s">
        <v>230</v>
      </c>
      <c r="W20" s="285" t="str">
        <f>Errorlog_table[[#This Row],[System]]</f>
        <v>GY86</v>
      </c>
      <c r="X20" s="366" t="str">
        <f>Errorlog_table[[#This Row],[link]]</f>
        <v>P853275</v>
      </c>
      <c r="Y20" s="277" t="str">
        <f>Errorlog_table[[#This Row],[Root_Error]]</f>
        <v>ZH-221D</v>
      </c>
      <c r="Z20" s="277" t="str">
        <f>Errorlog_table[[#This Row],[Description]]</f>
        <v>EpmID:105058| SCN - ZH-221D Recovery (Lot Abort) | ZH-221D |</v>
      </c>
      <c r="AA20" s="277"/>
      <c r="AB20" s="278">
        <f ca="1">_xlfn.ISOWEEKNUM(Errorlog_table[[#This Row],[Date]])+52*(Errorlog_table[[#This Row],[Year]]-YEAR(DATE(YEAR(TODAY()-WEEKDAY(TODAY()-1)+4),1,1)-MOD((DATE(YEAR(TODAY()-WEEKDAY(TODAY()-1)+4),1,1)-2),7)+(7*IF(MOD((DATE(YEAR(TODAY()-WEEKDAY(TODAY()-1)+4),1,1)-2),7)&gt;3,1,0))+7) )-_xlfn.ISOWEEKNUM(NOW())</f>
        <v>-36</v>
      </c>
      <c r="AC20" s="277"/>
      <c r="AD20" s="291" t="str">
        <f>TEXT(Errorlog_table[[#This Row],[Date]],"yyyy-mm-dd")&amp;"_"&amp;TEXT(Errorlog_table[[#This Row],[SDT_Timestamp]],"HH:MM:SS")&amp;"_"&amp;Errorlog_table[[#This Row],[System]]</f>
        <v>2025-01-01_05:59:00_GY86</v>
      </c>
      <c r="AE20" s="287" t="str">
        <f>Errorlog_table[[#This Row],[P_Hits]]</f>
        <v>Y</v>
      </c>
      <c r="AF20" s="287">
        <v>0</v>
      </c>
    </row>
    <row r="21" spans="1:32" ht="15">
      <c r="A21" s="369" t="s">
        <v>7</v>
      </c>
      <c r="B21" s="277" t="str">
        <f>VLOOKUP(A21,'5000_Fleet'!A:D,2,FALSE)</f>
        <v>Intel</v>
      </c>
      <c r="C21" s="289" t="s">
        <v>286</v>
      </c>
      <c r="D21" s="289">
        <f>YEAR(DATE(YEAR(Errorlog_table[[#This Row],[Date]]-WEEKDAY(Errorlog_table[[#This Row],[Date]]-1)+4),1,1)-MOD((DATE(YEAR(Errorlog_table[[#This Row],[Date]]-WEEKDAY(Errorlog_table[[#This Row],[Date]]-1)+4),1,1)-2),7)+(7*IF(MOD((DATE(YEAR(Errorlog_table[[#This Row],[Date]]-WEEKDAY(Errorlog_table[[#This Row],[Date]]-1)+4),1,1)-2),7)&gt;3,1,0))+7)</f>
        <v>2025</v>
      </c>
      <c r="E21" s="278">
        <f>VALUE(TEXT(_xlfn.ISOWEEKNUM(Errorlog_table[[#This Row],[Date]]),"00"))</f>
        <v>1</v>
      </c>
      <c r="F21" s="410">
        <f>VALUE((Errorlog_table[[#This Row],[Year]])&amp;TEXT(Errorlog_table[[#This Row],[Week_Number]],"00"))</f>
        <v>202501</v>
      </c>
      <c r="G21" s="370">
        <v>45658</v>
      </c>
      <c r="H21" s="371" t="s">
        <v>287</v>
      </c>
      <c r="I21" s="289" t="s">
        <v>288</v>
      </c>
      <c r="J21" s="289" t="str">
        <f>IF(LEN(VALUE(MID(Errorlog_table[[#This Row],[Description]],FIND(":",Errorlog_table[[#This Row],[Description]])+1,6)))&gt;1,MID(Errorlog_table[[#This Row],[Description]],FIND(":",Errorlog_table[[#This Row],[Description]])+1,6),"")</f>
        <v>105075</v>
      </c>
      <c r="K21" s="280">
        <v>6.6667000000000004E-2</v>
      </c>
      <c r="L21" s="277" t="s">
        <v>118</v>
      </c>
      <c r="M21" s="277">
        <v>53020028</v>
      </c>
      <c r="N21" s="277"/>
      <c r="O21" s="281">
        <f t="shared" si="0"/>
        <v>53020028</v>
      </c>
      <c r="P21" s="277">
        <f>LEN(Errorlog_table[[#This Row],[AIR]])</f>
        <v>0</v>
      </c>
      <c r="Q21" t="str" cm="1">
        <f t="array" ref="Q21">IF(OR(Errorlog_table[[#This Row],[AIR]]="n/a",Errorlog_table[[#This Row],[Event_code]]="Y"),"n/a",IF(Errorlog_table[[#This Row],[AIR]]="","no AIR",_xlfn.XLOOKUP(Errorlog_table[[#This Row],[AIR]],AIR_dump[[#All],[Number]],AIR_dump[[#All],[Type]],"not found",0,1)))</f>
        <v>no AIR</v>
      </c>
      <c r="R21" s="282" t="str">
        <f>Errorlog_table[[#This Row],[Description]]</f>
        <v>EpmID:105075| SCN - Recovery from track out of sync | ND |</v>
      </c>
      <c r="S21" s="347" cm="1">
        <f t="array" ref="S21">_xlfn.XLOOKUP(Errorlog_table[[#This Row],[AIR]],AIR_dump[[#All],[Number]],AIR_dump[[#All],[Close notes]])</f>
        <v>0</v>
      </c>
      <c r="T21" s="372">
        <f>Errorlog_table[[#This Row],[Year_Week_Number]]</f>
        <v>202501</v>
      </c>
      <c r="U21" s="284" t="s">
        <v>239</v>
      </c>
      <c r="V21" s="284" t="s">
        <v>230</v>
      </c>
      <c r="W21" s="285" t="str">
        <f>Errorlog_table[[#This Row],[System]]</f>
        <v>GY86</v>
      </c>
      <c r="X21" s="366">
        <f>Errorlog_table[[#This Row],[link]]</f>
        <v>53020028</v>
      </c>
      <c r="Y21" s="277" t="str">
        <f>Errorlog_table[[#This Row],[Root_Error]]</f>
        <v>Track-Comm</v>
      </c>
      <c r="Z21" s="277" t="str">
        <f>Errorlog_table[[#This Row],[Description]]</f>
        <v>EpmID:105075| SCN - Recovery from track out of sync | ND |</v>
      </c>
      <c r="AA21" s="277"/>
      <c r="AB21" s="278">
        <f ca="1">_xlfn.ISOWEEKNUM(Errorlog_table[[#This Row],[Date]])+52*(Errorlog_table[[#This Row],[Year]]-YEAR(DATE(YEAR(TODAY()-WEEKDAY(TODAY()-1)+4),1,1)-MOD((DATE(YEAR(TODAY()-WEEKDAY(TODAY()-1)+4),1,1)-2),7)+(7*IF(MOD((DATE(YEAR(TODAY()-WEEKDAY(TODAY()-1)+4),1,1)-2),7)&gt;3,1,0))+7) )-_xlfn.ISOWEEKNUM(NOW())</f>
        <v>-36</v>
      </c>
      <c r="AC21" s="277"/>
      <c r="AD21" s="288" t="str">
        <f>TEXT(Errorlog_table[[#This Row],[Date]],"yyyy-mm-dd")&amp;"_"&amp;TEXT(Errorlog_table[[#This Row],[SDT_Timestamp]],"HH:MM:SS")&amp;"_"&amp;Errorlog_table[[#This Row],[System]]</f>
        <v>2025-01-01_21:02:00_GY86</v>
      </c>
      <c r="AE21" s="287" t="str">
        <f>Errorlog_table[[#This Row],[P_Hits]]</f>
        <v>N</v>
      </c>
      <c r="AF21" s="287">
        <v>0</v>
      </c>
    </row>
    <row r="22" spans="1:32" ht="28.5">
      <c r="A22" s="369" t="s">
        <v>4</v>
      </c>
      <c r="B22" s="277" t="str">
        <f>VLOOKUP(A22,'5000_Fleet'!A:D,2,FALSE)</f>
        <v>Intel</v>
      </c>
      <c r="C22" s="289" t="s">
        <v>244</v>
      </c>
      <c r="D22" s="289">
        <f>YEAR(DATE(YEAR(Errorlog_table[[#This Row],[Date]]-WEEKDAY(Errorlog_table[[#This Row],[Date]]-1)+4),1,1)-MOD((DATE(YEAR(Errorlog_table[[#This Row],[Date]]-WEEKDAY(Errorlog_table[[#This Row],[Date]]-1)+4),1,1)-2),7)+(7*IF(MOD((DATE(YEAR(Errorlog_table[[#This Row],[Date]]-WEEKDAY(Errorlog_table[[#This Row],[Date]]-1)+4),1,1)-2),7)&gt;3,1,0))+7)</f>
        <v>2025</v>
      </c>
      <c r="E22" s="278">
        <f>VALUE(TEXT(_xlfn.ISOWEEKNUM(Errorlog_table[[#This Row],[Date]]),"00"))</f>
        <v>1</v>
      </c>
      <c r="F22" s="410">
        <f>VALUE((Errorlog_table[[#This Row],[Year]])&amp;TEXT(Errorlog_table[[#This Row],[Week_Number]],"00"))</f>
        <v>202501</v>
      </c>
      <c r="G22" s="370">
        <v>45659</v>
      </c>
      <c r="H22" s="371" t="s">
        <v>289</v>
      </c>
      <c r="I22" s="289" t="s">
        <v>290</v>
      </c>
      <c r="J22" s="289" t="str">
        <f>IF(LEN(VALUE(MID(Errorlog_table[[#This Row],[Description]],FIND(":",Errorlog_table[[#This Row],[Description]])+1,6)))&gt;1,MID(Errorlog_table[[#This Row],[Description]],FIND(":",Errorlog_table[[#This Row],[Description]])+1,6),"")</f>
        <v>104990</v>
      </c>
      <c r="K22" s="280">
        <v>11.383333</v>
      </c>
      <c r="L22" s="277" t="s">
        <v>234</v>
      </c>
      <c r="M22" s="277">
        <v>53013086</v>
      </c>
      <c r="N22" s="277" t="s">
        <v>235</v>
      </c>
      <c r="O22" s="281" t="str">
        <f t="shared" si="0"/>
        <v>P851510</v>
      </c>
      <c r="P22" s="277">
        <f>LEN(Errorlog_table[[#This Row],[AIR]])</f>
        <v>7</v>
      </c>
      <c r="Q22" cm="1">
        <f t="array" ref="Q22">IF(OR(Errorlog_table[[#This Row],[AIR]]="n/a",Errorlog_table[[#This Row],[Event_code]]="Y"),"n/a",IF(Errorlog_table[[#This Row],[AIR]]="","no AIR",_xlfn.XLOOKUP(Errorlog_table[[#This Row],[AIR]],AIR_dump[[#All],[Number]],AIR_dump[[#All],[Type]],"not found",0,1)))</f>
        <v>0</v>
      </c>
      <c r="R22" s="282" t="str" cm="1">
        <f t="array" ref="R22">IF(OR(Errorlog_table[[#This Row],[AIR]]="n/a",Errorlog_table[[#This Row],[Event_code]]="Y"),"n/a",IF(Errorlog_table[[#This Row],[AIR]]="","no AIR",_xlfn.XLOOKUP(Errorlog_table[[#This Row],[AIR]],AIR_dump[[#All],[Number]],AIR_dump[[#All],[Summary]],"not found",0,1)))</f>
        <v xml:space="preserve"> P851510 - [EXE 5000] [CR51] Request to investigate and add failure mode to DDF: Incorrect or no flow</v>
      </c>
      <c r="S22" s="347" t="str" cm="1">
        <f t="array" ref="S22">_xlfn.XLOOKUP(Errorlog_table[[#This Row],[AIR]],AIR_dump[[#All],[Number]],AIR_dump[[#All],[Close notes]])</f>
        <v>RCA</v>
      </c>
      <c r="T22" s="372">
        <f>Errorlog_table[[#This Row],[Year_Week_Number]]</f>
        <v>202501</v>
      </c>
      <c r="U22" s="284" t="s">
        <v>230</v>
      </c>
      <c r="V22" s="284" t="s">
        <v>230</v>
      </c>
      <c r="W22" s="285" t="str">
        <f>Errorlog_table[[#This Row],[System]]</f>
        <v>CR51</v>
      </c>
      <c r="X22" s="366" t="str">
        <f>Errorlog_table[[#This Row],[link]]</f>
        <v>P851510</v>
      </c>
      <c r="Y22" s="277" t="str">
        <f>Errorlog_table[[#This Row],[Root_Error]]</f>
        <v>LAB-002D</v>
      </c>
      <c r="Z22" s="277" t="str">
        <f>Errorlog_table[[#This Row],[Description]]</f>
        <v>EpmID:104990| SRC - Lot abort recovery for DL error+ POB setup recovery | LAB-002D |</v>
      </c>
      <c r="AA22" s="277"/>
      <c r="AB22" s="278">
        <f ca="1">_xlfn.ISOWEEKNUM(Errorlog_table[[#This Row],[Date]])+52*(Errorlog_table[[#This Row],[Year]]-YEAR(DATE(YEAR(TODAY()-WEEKDAY(TODAY()-1)+4),1,1)-MOD((DATE(YEAR(TODAY()-WEEKDAY(TODAY()-1)+4),1,1)-2),7)+(7*IF(MOD((DATE(YEAR(TODAY()-WEEKDAY(TODAY()-1)+4),1,1)-2),7)&gt;3,1,0))+7) )-_xlfn.ISOWEEKNUM(NOW())</f>
        <v>-36</v>
      </c>
      <c r="AC22" s="277"/>
      <c r="AD22" s="291" t="str">
        <f>TEXT(Errorlog_table[[#This Row],[Date]],"yyyy-mm-dd")&amp;"_"&amp;TEXT(Errorlog_table[[#This Row],[SDT_Timestamp]],"HH:MM:SS")&amp;"_"&amp;Errorlog_table[[#This Row],[System]]</f>
        <v>2025-01-02_06:28:00_CR51</v>
      </c>
      <c r="AE22" s="287" t="str">
        <f>Errorlog_table[[#This Row],[P_Hits]]</f>
        <v>Y</v>
      </c>
      <c r="AF22" s="287">
        <v>0</v>
      </c>
    </row>
    <row r="23" spans="1:32" ht="15">
      <c r="A23" s="369" t="s">
        <v>7</v>
      </c>
      <c r="B23" s="277" t="str">
        <f>VLOOKUP(A23,'5000_Fleet'!A:D,2,FALSE)</f>
        <v>Intel</v>
      </c>
      <c r="C23" s="289" t="s">
        <v>291</v>
      </c>
      <c r="D23" s="289">
        <f>YEAR(DATE(YEAR(Errorlog_table[[#This Row],[Date]]-WEEKDAY(Errorlog_table[[#This Row],[Date]]-1)+4),1,1)-MOD((DATE(YEAR(Errorlog_table[[#This Row],[Date]]-WEEKDAY(Errorlog_table[[#This Row],[Date]]-1)+4),1,1)-2),7)+(7*IF(MOD((DATE(YEAR(Errorlog_table[[#This Row],[Date]]-WEEKDAY(Errorlog_table[[#This Row],[Date]]-1)+4),1,1)-2),7)&gt;3,1,0))+7)</f>
        <v>2025</v>
      </c>
      <c r="E23" s="278">
        <f>VALUE(TEXT(_xlfn.ISOWEEKNUM(Errorlog_table[[#This Row],[Date]]),"00"))</f>
        <v>1</v>
      </c>
      <c r="F23" s="410">
        <f>VALUE((Errorlog_table[[#This Row],[Year]])&amp;TEXT(Errorlog_table[[#This Row],[Week_Number]],"00"))</f>
        <v>202501</v>
      </c>
      <c r="G23" s="370">
        <v>45659</v>
      </c>
      <c r="H23" s="371" t="s">
        <v>292</v>
      </c>
      <c r="I23" s="289" t="s">
        <v>293</v>
      </c>
      <c r="J23" s="289" t="str">
        <f>IF(LEN(VALUE(MID(Errorlog_table[[#This Row],[Description]],FIND(":",Errorlog_table[[#This Row],[Description]])+1,6)))&gt;1,MID(Errorlog_table[[#This Row],[Description]],FIND(":",Errorlog_table[[#This Row],[Description]])+1,6),"")</f>
        <v>105389</v>
      </c>
      <c r="K23" s="280">
        <v>0.183333</v>
      </c>
      <c r="L23" s="277" t="s">
        <v>118</v>
      </c>
      <c r="M23" s="277">
        <v>53020963</v>
      </c>
      <c r="N23" s="277"/>
      <c r="O23" s="281">
        <f t="shared" si="0"/>
        <v>53020963</v>
      </c>
      <c r="P23" s="277">
        <f>LEN(Errorlog_table[[#This Row],[AIR]])</f>
        <v>0</v>
      </c>
      <c r="Q23" t="str" cm="1">
        <f t="array" ref="Q23">IF(OR(Errorlog_table[[#This Row],[AIR]]="n/a",Errorlog_table[[#This Row],[Event_code]]="Y"),"n/a",IF(Errorlog_table[[#This Row],[AIR]]="","no AIR",_xlfn.XLOOKUP(Errorlog_table[[#This Row],[AIR]],AIR_dump[[#All],[Number]],AIR_dump[[#All],[Type]],"not found",0,1)))</f>
        <v>no AIR</v>
      </c>
      <c r="R23" s="282" t="str">
        <f>Errorlog_table[[#This Row],[Description]]</f>
        <v>EpmID:105389| SCN - WH error during CH unlock | PG-6206 |</v>
      </c>
      <c r="S23" s="347" cm="1">
        <f t="array" ref="S23">_xlfn.XLOOKUP(Errorlog_table[[#This Row],[AIR]],AIR_dump[[#All],[Number]],AIR_dump[[#All],[Close notes]])</f>
        <v>0</v>
      </c>
      <c r="T23" s="372">
        <f>Errorlog_table[[#This Row],[Year_Week_Number]]</f>
        <v>202501</v>
      </c>
      <c r="U23" s="284" t="s">
        <v>239</v>
      </c>
      <c r="V23" s="284" t="s">
        <v>230</v>
      </c>
      <c r="W23" s="285" t="str">
        <f>Errorlog_table[[#This Row],[System]]</f>
        <v>GY86</v>
      </c>
      <c r="X23" s="366">
        <f>Errorlog_table[[#This Row],[link]]</f>
        <v>53020963</v>
      </c>
      <c r="Y23" s="277" t="str">
        <f>Errorlog_table[[#This Row],[Root_Error]]</f>
        <v>PG-6206</v>
      </c>
      <c r="Z23" s="277" t="str">
        <f>Errorlog_table[[#This Row],[Description]]</f>
        <v>EpmID:105389| SCN - WH error during CH unlock | PG-6206 |</v>
      </c>
      <c r="AA23" s="277"/>
      <c r="AB23" s="278">
        <f ca="1">_xlfn.ISOWEEKNUM(Errorlog_table[[#This Row],[Date]])+52*(Errorlog_table[[#This Row],[Year]]-YEAR(DATE(YEAR(TODAY()-WEEKDAY(TODAY()-1)+4),1,1)-MOD((DATE(YEAR(TODAY()-WEEKDAY(TODAY()-1)+4),1,1)-2),7)+(7*IF(MOD((DATE(YEAR(TODAY()-WEEKDAY(TODAY()-1)+4),1,1)-2),7)&gt;3,1,0))+7) )-_xlfn.ISOWEEKNUM(NOW())</f>
        <v>-36</v>
      </c>
      <c r="AC23" s="277"/>
      <c r="AD23" s="291" t="str">
        <f>TEXT(Errorlog_table[[#This Row],[Date]],"yyyy-mm-dd")&amp;"_"&amp;TEXT(Errorlog_table[[#This Row],[SDT_Timestamp]],"HH:MM:SS")&amp;"_"&amp;Errorlog_table[[#This Row],[System]]</f>
        <v>2025-01-02_18:00:00_GY86</v>
      </c>
      <c r="AE23" s="287" t="str">
        <f>Errorlog_table[[#This Row],[P_Hits]]</f>
        <v>N</v>
      </c>
      <c r="AF23" s="287">
        <v>0</v>
      </c>
    </row>
    <row r="24" spans="1:32" ht="15">
      <c r="A24" s="369" t="s">
        <v>7</v>
      </c>
      <c r="B24" s="277" t="str">
        <f>VLOOKUP(A24,'5000_Fleet'!A:D,2,FALSE)</f>
        <v>Intel</v>
      </c>
      <c r="C24" s="287" t="s">
        <v>294</v>
      </c>
      <c r="D24" s="287">
        <f>YEAR(DATE(YEAR(Errorlog_table[[#This Row],[Date]]-WEEKDAY(Errorlog_table[[#This Row],[Date]]-1)+4),1,1)-MOD((DATE(YEAR(Errorlog_table[[#This Row],[Date]]-WEEKDAY(Errorlog_table[[#This Row],[Date]]-1)+4),1,1)-2),7)+(7*IF(MOD((DATE(YEAR(Errorlog_table[[#This Row],[Date]]-WEEKDAY(Errorlog_table[[#This Row],[Date]]-1)+4),1,1)-2),7)&gt;3,1,0))+7)</f>
        <v>2025</v>
      </c>
      <c r="E24" s="278">
        <f>VALUE(TEXT(_xlfn.ISOWEEKNUM(Errorlog_table[[#This Row],[Date]]),"00"))</f>
        <v>1</v>
      </c>
      <c r="F24" s="410">
        <f>VALUE((Errorlog_table[[#This Row],[Year]])&amp;TEXT(Errorlog_table[[#This Row],[Week_Number]],"00"))</f>
        <v>202501</v>
      </c>
      <c r="G24" s="370">
        <v>45659</v>
      </c>
      <c r="H24" s="373" t="s">
        <v>295</v>
      </c>
      <c r="I24" s="287" t="s">
        <v>296</v>
      </c>
      <c r="J24" s="287" t="str">
        <f>IF(LEN(VALUE(MID(Errorlog_table[[#This Row],[Description]],FIND(":",Errorlog_table[[#This Row],[Description]])+1,6)))&gt;1,MID(Errorlog_table[[#This Row],[Description]],FIND(":",Errorlog_table[[#This Row],[Description]])+1,6),"")</f>
        <v>105494</v>
      </c>
      <c r="K24" s="292">
        <v>18.998055999999998</v>
      </c>
      <c r="L24" s="277" t="s">
        <v>92</v>
      </c>
      <c r="M24" s="277">
        <v>53013086</v>
      </c>
      <c r="N24" s="277"/>
      <c r="O24" s="281">
        <f t="shared" si="0"/>
        <v>53013086</v>
      </c>
      <c r="P24" s="277">
        <f>LEN(Errorlog_table[[#This Row],[AIR]])</f>
        <v>0</v>
      </c>
      <c r="Q24" t="str" cm="1">
        <f t="array" ref="Q24">IF(OR(Errorlog_table[[#This Row],[AIR]]="n/a",Errorlog_table[[#This Row],[Event_code]]="Y"),"n/a",IF(Errorlog_table[[#This Row],[AIR]]="","no AIR",_xlfn.XLOOKUP(Errorlog_table[[#This Row],[AIR]],AIR_dump[[#All],[Number]],AIR_dump[[#All],[Type]],"not found",0,1)))</f>
        <v>no AIR</v>
      </c>
      <c r="R24" s="282" t="str" cm="1">
        <f t="array" ref="R24">IF(OR(Errorlog_table[[#This Row],[AIR]]="n/a",Errorlog_table[[#This Row],[Event_code]]="Y"),"n/a",IF(Errorlog_table[[#This Row],[AIR]]="","no AIR",_xlfn.XLOOKUP(Errorlog_table[[#This Row],[AIR]],AIR_dump[[#All],[Number]],AIR_dump[[#All],[Summary]],"not found",0,1)))</f>
        <v>no AIR</v>
      </c>
      <c r="S24" s="347" cm="1">
        <f t="array" ref="S24">_xlfn.XLOOKUP(Errorlog_table[[#This Row],[AIR]],AIR_dump[[#All],[Number]],AIR_dump[[#All],[Close notes]])</f>
        <v>0</v>
      </c>
      <c r="T24" s="372">
        <f>Errorlog_table[[#This Row],[Year_Week_Number]]</f>
        <v>202501</v>
      </c>
      <c r="U24" s="284" t="s">
        <v>230</v>
      </c>
      <c r="V24" s="284" t="s">
        <v>230</v>
      </c>
      <c r="W24" s="285" t="str">
        <f>Errorlog_table[[#This Row],[System]]</f>
        <v>GY86</v>
      </c>
      <c r="X24" s="366">
        <f>Errorlog_table[[#This Row],[link]]</f>
        <v>53013086</v>
      </c>
      <c r="Y24" s="277" t="str">
        <f>Errorlog_table[[#This Row],[Root_Error]]</f>
        <v>BP-3900</v>
      </c>
      <c r="Z24" s="277" t="str">
        <f>Errorlog_table[[#This Row],[Description]]</f>
        <v xml:space="preserve">EpmID:105494| SRC - Lot abort for SRC error | BP-3900 | </v>
      </c>
      <c r="AA24" s="277" t="str">
        <f>IF(K24&gt;=12,"XLD","Short down")</f>
        <v>XLD</v>
      </c>
      <c r="AB24" s="278">
        <f ca="1">_xlfn.ISOWEEKNUM(Errorlog_table[[#This Row],[Date]])+52*(Errorlog_table[[#This Row],[Year]]-YEAR(DATE(YEAR(TODAY()-WEEKDAY(TODAY()-1)+4),1,1)-MOD((DATE(YEAR(TODAY()-WEEKDAY(TODAY()-1)+4),1,1)-2),7)+(7*IF(MOD((DATE(YEAR(TODAY()-WEEKDAY(TODAY()-1)+4),1,1)-2),7)&gt;3,1,0))+7) )-_xlfn.ISOWEEKNUM(NOW())</f>
        <v>-36</v>
      </c>
      <c r="AC24" s="277">
        <f>COUNTIF(MTBF_pareto[AIR],Errorlog_table[[#This Row],[AIR]])</f>
        <v>0</v>
      </c>
      <c r="AD24" s="294" t="str">
        <f>TEXT(Errorlog_table[[#This Row],[Date]],"yyyy-mm-dd")&amp;"_"&amp;TEXT(Errorlog_table[[#This Row],[SDT_Timestamp]],"HH:MM:SS")&amp;"_"&amp;Errorlog_table[[#This Row],[System]]</f>
        <v>2025-01-02_20:08:43_GY86</v>
      </c>
      <c r="AE24" s="287" t="str">
        <f>Errorlog_table[[#This Row],[P_Hits]]</f>
        <v>Y</v>
      </c>
      <c r="AF24" s="287">
        <v>0</v>
      </c>
    </row>
    <row r="25" spans="1:32" ht="40.5" customHeight="1">
      <c r="A25" s="369" t="s">
        <v>4</v>
      </c>
      <c r="B25" s="277" t="str">
        <f>VLOOKUP(A25,'5000_Fleet'!A:D,2,FALSE)</f>
        <v>Intel</v>
      </c>
      <c r="C25" s="289" t="s">
        <v>244</v>
      </c>
      <c r="D25" s="289">
        <f>YEAR(DATE(YEAR(Errorlog_table[[#This Row],[Date]]-WEEKDAY(Errorlog_table[[#This Row],[Date]]-1)+4),1,1)-MOD((DATE(YEAR(Errorlog_table[[#This Row],[Date]]-WEEKDAY(Errorlog_table[[#This Row],[Date]]-1)+4),1,1)-2),7)+(7*IF(MOD((DATE(YEAR(Errorlog_table[[#This Row],[Date]]-WEEKDAY(Errorlog_table[[#This Row],[Date]]-1)+4),1,1)-2),7)&gt;3,1,0))+7)</f>
        <v>2025</v>
      </c>
      <c r="E25" s="278">
        <f>VALUE(TEXT(_xlfn.ISOWEEKNUM(Errorlog_table[[#This Row],[Date]]),"00"))</f>
        <v>1</v>
      </c>
      <c r="F25" s="410">
        <f>VALUE((Errorlog_table[[#This Row],[Year]])&amp;TEXT(Errorlog_table[[#This Row],[Week_Number]],"00"))</f>
        <v>202501</v>
      </c>
      <c r="G25" s="370">
        <v>45660</v>
      </c>
      <c r="H25" s="371" t="s">
        <v>297</v>
      </c>
      <c r="I25" s="289" t="s">
        <v>298</v>
      </c>
      <c r="J25" s="289" t="str">
        <f>IF(LEN(VALUE(MID(Errorlog_table[[#This Row],[Description]],FIND(":",Errorlog_table[[#This Row],[Description]])+1,6)))&gt;1,MID(Errorlog_table[[#This Row],[Description]],FIND(":",Errorlog_table[[#This Row],[Description]])+1,6),"")</f>
        <v>105495</v>
      </c>
      <c r="K25" s="280">
        <v>0.93333299999999997</v>
      </c>
      <c r="L25" s="277" t="s">
        <v>234</v>
      </c>
      <c r="M25" s="277">
        <v>53013086</v>
      </c>
      <c r="N25" s="277" t="s">
        <v>235</v>
      </c>
      <c r="O25" s="281" t="str">
        <f t="shared" si="0"/>
        <v>P851510</v>
      </c>
      <c r="P25" s="277">
        <f>LEN(Errorlog_table[[#This Row],[AIR]])</f>
        <v>7</v>
      </c>
      <c r="Q25" cm="1">
        <f t="array" ref="Q25">IF(OR(Errorlog_table[[#This Row],[AIR]]="n/a",Errorlog_table[[#This Row],[Event_code]]="Y"),"n/a",IF(Errorlog_table[[#This Row],[AIR]]="","no AIR",_xlfn.XLOOKUP(Errorlog_table[[#This Row],[AIR]],AIR_dump[[#All],[Number]],AIR_dump[[#All],[Type]],"not found",0,1)))</f>
        <v>0</v>
      </c>
      <c r="R25" s="282" t="str" cm="1">
        <f t="array" ref="R25">IF(OR(Errorlog_table[[#This Row],[AIR]]="n/a",Errorlog_table[[#This Row],[Event_code]]="Y"),"n/a",IF(Errorlog_table[[#This Row],[AIR]]="","no AIR",_xlfn.XLOOKUP(Errorlog_table[[#This Row],[AIR]],AIR_dump[[#All],[Number]],AIR_dump[[#All],[Summary]],"not found",0,1)))</f>
        <v xml:space="preserve"> P851510 - [EXE 5000] [CR51] Request to investigate and add failure mode to DDF: Incorrect or no flow</v>
      </c>
      <c r="S25" s="347" t="str" cm="1">
        <f t="array" ref="S25">_xlfn.XLOOKUP(Errorlog_table[[#This Row],[AIR]],AIR_dump[[#All],[Number]],AIR_dump[[#All],[Close notes]])</f>
        <v>RCA</v>
      </c>
      <c r="T25" s="372">
        <f>Errorlog_table[[#This Row],[Year_Week_Number]]</f>
        <v>202501</v>
      </c>
      <c r="U25" s="284" t="s">
        <v>239</v>
      </c>
      <c r="V25" s="284" t="s">
        <v>230</v>
      </c>
      <c r="W25" s="285" t="str">
        <f>Errorlog_table[[#This Row],[System]]</f>
        <v>CR51</v>
      </c>
      <c r="X25" s="366" t="str">
        <f>Errorlog_table[[#This Row],[link]]</f>
        <v>P851510</v>
      </c>
      <c r="Y25" s="277" t="str">
        <f>Errorlog_table[[#This Row],[Root_Error]]</f>
        <v>LAB-002D</v>
      </c>
      <c r="Z25" s="277" t="str">
        <f>Errorlog_table[[#This Row],[Description]]</f>
        <v>EpmID:105495| CO2 - DLBB Flow too low LAB-002D | LAB-002D |</v>
      </c>
      <c r="AA25" s="277"/>
      <c r="AB25" s="278">
        <f ca="1">_xlfn.ISOWEEKNUM(Errorlog_table[[#This Row],[Date]])+52*(Errorlog_table[[#This Row],[Year]]-YEAR(DATE(YEAR(TODAY()-WEEKDAY(TODAY()-1)+4),1,1)-MOD((DATE(YEAR(TODAY()-WEEKDAY(TODAY()-1)+4),1,1)-2),7)+(7*IF(MOD((DATE(YEAR(TODAY()-WEEKDAY(TODAY()-1)+4),1,1)-2),7)&gt;3,1,0))+7) )-_xlfn.ISOWEEKNUM(NOW())</f>
        <v>-36</v>
      </c>
      <c r="AC25" s="277"/>
      <c r="AD25" s="291" t="str">
        <f>TEXT(Errorlog_table[[#This Row],[Date]],"yyyy-mm-dd")&amp;"_"&amp;TEXT(Errorlog_table[[#This Row],[SDT_Timestamp]],"HH:MM:SS")&amp;"_"&amp;Errorlog_table[[#This Row],[System]]</f>
        <v>2025-01-03_16:22:00_CR51</v>
      </c>
      <c r="AE25" s="287" t="str">
        <f>Errorlog_table[[#This Row],[P_Hits]]</f>
        <v>N</v>
      </c>
      <c r="AF25" s="287">
        <v>0</v>
      </c>
    </row>
    <row r="26" spans="1:32" ht="19.5" customHeight="1">
      <c r="A26" s="369" t="s">
        <v>4</v>
      </c>
      <c r="B26" s="277" t="str">
        <f>VLOOKUP(A26,'5000_Fleet'!A:D,2,FALSE)</f>
        <v>Intel</v>
      </c>
      <c r="C26" s="289" t="s">
        <v>294</v>
      </c>
      <c r="D26" s="289">
        <f>YEAR(DATE(YEAR(Errorlog_table[[#This Row],[Date]]-WEEKDAY(Errorlog_table[[#This Row],[Date]]-1)+4),1,1)-MOD((DATE(YEAR(Errorlog_table[[#This Row],[Date]]-WEEKDAY(Errorlog_table[[#This Row],[Date]]-1)+4),1,1)-2),7)+(7*IF(MOD((DATE(YEAR(Errorlog_table[[#This Row],[Date]]-WEEKDAY(Errorlog_table[[#This Row],[Date]]-1)+4),1,1)-2),7)&gt;3,1,0))+7)</f>
        <v>2025</v>
      </c>
      <c r="E26" s="278">
        <f>VALUE(TEXT(_xlfn.ISOWEEKNUM(Errorlog_table[[#This Row],[Date]]),"00"))</f>
        <v>1</v>
      </c>
      <c r="F26" s="410">
        <f>VALUE((Errorlog_table[[#This Row],[Year]])&amp;TEXT(Errorlog_table[[#This Row],[Week_Number]],"00"))</f>
        <v>202501</v>
      </c>
      <c r="G26" s="370">
        <v>45661</v>
      </c>
      <c r="H26" s="371" t="s">
        <v>299</v>
      </c>
      <c r="I26" s="289" t="s">
        <v>300</v>
      </c>
      <c r="J26" s="289" t="str">
        <f>IF(LEN(VALUE(MID(Errorlog_table[[#This Row],[Description]],FIND(":",Errorlog_table[[#This Row],[Description]])+1,6)))&gt;1,MID(Errorlog_table[[#This Row],[Description]],FIND(":",Errorlog_table[[#This Row],[Description]])+1,6),"")</f>
        <v>105494</v>
      </c>
      <c r="K26" s="280">
        <v>3.3</v>
      </c>
      <c r="L26" s="277" t="s">
        <v>92</v>
      </c>
      <c r="M26" s="277">
        <v>0</v>
      </c>
      <c r="N26" s="367" t="s">
        <v>301</v>
      </c>
      <c r="O26" s="281" t="str">
        <f t="shared" si="0"/>
        <v>P825866</v>
      </c>
      <c r="P26" s="277">
        <f>LEN(Errorlog_table[[#This Row],[AIR]])</f>
        <v>7</v>
      </c>
      <c r="Q26" t="str" cm="1">
        <f t="array" ref="Q26">IF(OR(Errorlog_table[[#This Row],[AIR]]="n/a",Errorlog_table[[#This Row],[Event_code]]="Y"),"n/a",IF(Errorlog_table[[#This Row],[AIR]]="","no AIR",_xlfn.XLOOKUP(Errorlog_table[[#This Row],[AIR]],AIR_dump[[#All],[Number]],AIR_dump[[#All],[Type]],"not found",0,1)))</f>
        <v>BD</v>
      </c>
      <c r="R26" s="282" t="str" cm="1">
        <f t="array" ref="R26">IF(OR(Errorlog_table[[#This Row],[AIR]]="n/a",Errorlog_table[[#This Row],[Event_code]]="Y"),"n/a",IF(Errorlog_table[[#This Row],[AIR]]="","no AIR",_xlfn.XLOOKUP(Errorlog_table[[#This Row],[AIR]],AIR_dump[[#All],[Number]],AIR_dump[[#All],[Summary]],"not found",0,1)))</f>
        <v>[E100][EZ60] Remove 500ms check on auxiliary contactors during HV ON and HV OFF</v>
      </c>
      <c r="S26" s="347" t="str" cm="1">
        <f t="array" ref="S26">_xlfn.XLOOKUP(Errorlog_table[[#This Row],[AIR]],AIR_dump[[#All],[Number]],AIR_dump[[#All],[Close notes]])</f>
        <v xml:space="preserve">[intake 2442]
Wk42: New issue, intake ongoing
wk42.3 Investigation ongoing, expected feedback by Trumpf wk42.4 
wk43.3: RC understood. SW Patch currently only for EZ60 as containment. Need to still find a solution direction
wk44.3: Hardware as root cause </v>
      </c>
      <c r="T26" s="372">
        <f>Errorlog_table[[#This Row],[Year_Week_Number]]</f>
        <v>202501</v>
      </c>
      <c r="U26" s="284" t="s">
        <v>230</v>
      </c>
      <c r="V26" s="284" t="s">
        <v>230</v>
      </c>
      <c r="W26" s="285" t="str">
        <f>Errorlog_table[[#This Row],[System]]</f>
        <v>CR51</v>
      </c>
      <c r="X26" s="366" t="str">
        <f>Errorlog_table[[#This Row],[link]]</f>
        <v>P825866</v>
      </c>
      <c r="Y26" s="277" t="str">
        <f>Errorlog_table[[#This Row],[Root_Error]]</f>
        <v>BP-3900</v>
      </c>
      <c r="Z26" s="277" t="str">
        <f>Errorlog_table[[#This Row],[Description]]</f>
        <v>EpmID:105494| SRC - Lot abort for SRC error | BP-3900 |</v>
      </c>
      <c r="AA26" s="277"/>
      <c r="AB26" s="278">
        <f ca="1">_xlfn.ISOWEEKNUM(Errorlog_table[[#This Row],[Date]])+52*(Errorlog_table[[#This Row],[Year]]-YEAR(DATE(YEAR(TODAY()-WEEKDAY(TODAY()-1)+4),1,1)-MOD((DATE(YEAR(TODAY()-WEEKDAY(TODAY()-1)+4),1,1)-2),7)+(7*IF(MOD((DATE(YEAR(TODAY()-WEEKDAY(TODAY()-1)+4),1,1)-2),7)&gt;3,1,0))+7) )-_xlfn.ISOWEEKNUM(NOW())</f>
        <v>-36</v>
      </c>
      <c r="AC26" s="277"/>
      <c r="AD26" s="291" t="str">
        <f>TEXT(Errorlog_table[[#This Row],[Date]],"yyyy-mm-dd")&amp;"_"&amp;TEXT(Errorlog_table[[#This Row],[SDT_Timestamp]],"HH:MM:SS")&amp;"_"&amp;Errorlog_table[[#This Row],[System]]</f>
        <v>2025-01-04_03:49:00_CR51</v>
      </c>
      <c r="AE26" s="287" t="str">
        <f>Errorlog_table[[#This Row],[P_Hits]]</f>
        <v>Y</v>
      </c>
      <c r="AF26" s="287">
        <v>0</v>
      </c>
    </row>
    <row r="27" spans="1:32" ht="28.5">
      <c r="A27" s="369" t="s">
        <v>7</v>
      </c>
      <c r="B27" s="277" t="str">
        <f>VLOOKUP(A27,'5000_Fleet'!A:D,2,FALSE)</f>
        <v>Intel</v>
      </c>
      <c r="C27" s="289" t="s">
        <v>251</v>
      </c>
      <c r="D27" s="289">
        <f>YEAR(DATE(YEAR(Errorlog_table[[#This Row],[Date]]-WEEKDAY(Errorlog_table[[#This Row],[Date]]-1)+4),1,1)-MOD((DATE(YEAR(Errorlog_table[[#This Row],[Date]]-WEEKDAY(Errorlog_table[[#This Row],[Date]]-1)+4),1,1)-2),7)+(7*IF(MOD((DATE(YEAR(Errorlog_table[[#This Row],[Date]]-WEEKDAY(Errorlog_table[[#This Row],[Date]]-1)+4),1,1)-2),7)&gt;3,1,0))+7)</f>
        <v>2025</v>
      </c>
      <c r="E27" s="278">
        <f>VALUE(TEXT(_xlfn.ISOWEEKNUM(Errorlog_table[[#This Row],[Date]]),"00"))</f>
        <v>1</v>
      </c>
      <c r="F27" s="410">
        <f>VALUE((Errorlog_table[[#This Row],[Year]])&amp;TEXT(Errorlog_table[[#This Row],[Week_Number]],"00"))</f>
        <v>202501</v>
      </c>
      <c r="G27" s="370">
        <v>45661</v>
      </c>
      <c r="H27" s="371" t="s">
        <v>302</v>
      </c>
      <c r="I27" s="289" t="s">
        <v>303</v>
      </c>
      <c r="J27" s="289" t="str">
        <f>IF(LEN(VALUE(MID(Errorlog_table[[#This Row],[Description]],FIND(":",Errorlog_table[[#This Row],[Description]])+1,6)))&gt;1,MID(Errorlog_table[[#This Row],[Description]],FIND(":",Errorlog_table[[#This Row],[Description]])+1,6),"")</f>
        <v>105505</v>
      </c>
      <c r="K27" s="280">
        <v>0.81666700000000003</v>
      </c>
      <c r="L27" s="277" t="s">
        <v>126</v>
      </c>
      <c r="M27" s="277">
        <v>0</v>
      </c>
      <c r="N27" s="287" t="s">
        <v>271</v>
      </c>
      <c r="O27" s="281" t="str">
        <f t="shared" si="0"/>
        <v>P853275</v>
      </c>
      <c r="P27" s="277">
        <f>LEN(Errorlog_table[[#This Row],[AIR]])</f>
        <v>7</v>
      </c>
      <c r="Q27" cm="1">
        <f t="array" ref="Q27">IF(OR(Errorlog_table[[#This Row],[AIR]]="n/a",Errorlog_table[[#This Row],[Event_code]]="Y"),"n/a",IF(Errorlog_table[[#This Row],[AIR]]="","no AIR",_xlfn.XLOOKUP(Errorlog_table[[#This Row],[AIR]],AIR_dump[[#All],[Number]],AIR_dump[[#All],[Type]],"not found",0,1)))</f>
        <v>0</v>
      </c>
      <c r="R27" s="282" t="str" cm="1">
        <f t="array" ref="R27">IF(OR(Errorlog_table[[#This Row],[AIR]]="n/a",Errorlog_table[[#This Row],[Event_code]]="Y"),"n/a",IF(Errorlog_table[[#This Row],[AIR]]="","no AIR",_xlfn.XLOOKUP(Errorlog_table[[#This Row],[AIR]],AIR_dump[[#All],[Number]],AIR_dump[[#All],[Summary]],"not found",0,1)))</f>
        <v>P853275 - NXE:3800E and EXE:5000 Destination Violation Error ZH-221D</v>
      </c>
      <c r="S27" s="347" t="str" cm="1">
        <f t="array" ref="S27">_xlfn.XLOOKUP(Errorlog_table[[#This Row],[AIR]],AIR_dump[[#All],[Number]],AIR_dump[[#All],[Close notes]])</f>
        <v>Firmware delivered W19 (COB swap done)</v>
      </c>
      <c r="T27" s="372">
        <f>Errorlog_table[[#This Row],[Year_Week_Number]]</f>
        <v>202501</v>
      </c>
      <c r="U27" s="284" t="s">
        <v>230</v>
      </c>
      <c r="V27" s="284" t="s">
        <v>230</v>
      </c>
      <c r="W27" s="285" t="str">
        <f>Errorlog_table[[#This Row],[System]]</f>
        <v>GY86</v>
      </c>
      <c r="X27" s="366" t="str">
        <f>Errorlog_table[[#This Row],[link]]</f>
        <v>P853275</v>
      </c>
      <c r="Y27" s="277" t="str">
        <f>Errorlog_table[[#This Row],[Root_Error]]</f>
        <v>ZH-221D</v>
      </c>
      <c r="Z27" s="277" t="str">
        <f>Errorlog_table[[#This Row],[Description]]</f>
        <v>EpmID:105505| SCN - Lot aborted | ZH-221D |</v>
      </c>
      <c r="AA27" s="277"/>
      <c r="AB27" s="278">
        <f ca="1">_xlfn.ISOWEEKNUM(Errorlog_table[[#This Row],[Date]])+52*(Errorlog_table[[#This Row],[Year]]-YEAR(DATE(YEAR(TODAY()-WEEKDAY(TODAY()-1)+4),1,1)-MOD((DATE(YEAR(TODAY()-WEEKDAY(TODAY()-1)+4),1,1)-2),7)+(7*IF(MOD((DATE(YEAR(TODAY()-WEEKDAY(TODAY()-1)+4),1,1)-2),7)&gt;3,1,0))+7) )-_xlfn.ISOWEEKNUM(NOW())</f>
        <v>-36</v>
      </c>
      <c r="AC27" s="277"/>
      <c r="AD27" s="291" t="str">
        <f>TEXT(Errorlog_table[[#This Row],[Date]],"yyyy-mm-dd")&amp;"_"&amp;TEXT(Errorlog_table[[#This Row],[SDT_Timestamp]],"HH:MM:SS")&amp;"_"&amp;Errorlog_table[[#This Row],[System]]</f>
        <v>2025-01-04_05:04:00_GY86</v>
      </c>
      <c r="AE27" s="287" t="str">
        <f>Errorlog_table[[#This Row],[P_Hits]]</f>
        <v>Y</v>
      </c>
      <c r="AF27" s="287">
        <v>0</v>
      </c>
    </row>
    <row r="28" spans="1:32" ht="15">
      <c r="A28" s="369" t="s">
        <v>7</v>
      </c>
      <c r="B28" s="277" t="str">
        <f>VLOOKUP(A28,'5000_Fleet'!A:D,2,FALSE)</f>
        <v>Intel</v>
      </c>
      <c r="C28" s="289" t="s">
        <v>304</v>
      </c>
      <c r="D28" s="289">
        <f>YEAR(DATE(YEAR(Errorlog_table[[#This Row],[Date]]-WEEKDAY(Errorlog_table[[#This Row],[Date]]-1)+4),1,1)-MOD((DATE(YEAR(Errorlog_table[[#This Row],[Date]]-WEEKDAY(Errorlog_table[[#This Row],[Date]]-1)+4),1,1)-2),7)+(7*IF(MOD((DATE(YEAR(Errorlog_table[[#This Row],[Date]]-WEEKDAY(Errorlog_table[[#This Row],[Date]]-1)+4),1,1)-2),7)&gt;3,1,0))+7)</f>
        <v>2025</v>
      </c>
      <c r="E28" s="278">
        <f>VALUE(TEXT(_xlfn.ISOWEEKNUM(Errorlog_table[[#This Row],[Date]]),"00"))</f>
        <v>1</v>
      </c>
      <c r="F28" s="410">
        <f>VALUE((Errorlog_table[[#This Row],[Year]])&amp;TEXT(Errorlog_table[[#This Row],[Week_Number]],"00"))</f>
        <v>202501</v>
      </c>
      <c r="G28" s="370">
        <v>45662</v>
      </c>
      <c r="H28" s="371" t="s">
        <v>241</v>
      </c>
      <c r="I28" s="289" t="s">
        <v>305</v>
      </c>
      <c r="J28" s="289" t="str">
        <f>IF(LEN(VALUE(MID(Errorlog_table[[#This Row],[Description]],FIND(":",Errorlog_table[[#This Row],[Description]])+1,6)))&gt;1,MID(Errorlog_table[[#This Row],[Description]],FIND(":",Errorlog_table[[#This Row],[Description]])+1,6),"")</f>
        <v>105516</v>
      </c>
      <c r="K28" s="280">
        <v>8.4166670000000003</v>
      </c>
      <c r="L28" s="277" t="s">
        <v>123</v>
      </c>
      <c r="M28" s="277">
        <v>53022419</v>
      </c>
      <c r="N28" s="277"/>
      <c r="O28" s="281">
        <f t="shared" si="0"/>
        <v>53022419</v>
      </c>
      <c r="P28" s="277">
        <f>LEN(Errorlog_table[[#This Row],[AIR]])</f>
        <v>0</v>
      </c>
      <c r="Q28" t="str" cm="1">
        <f t="array" ref="Q28">IF(OR(Errorlog_table[[#This Row],[AIR]]="n/a",Errorlog_table[[#This Row],[Event_code]]="Y"),"n/a",IF(Errorlog_table[[#This Row],[AIR]]="","no AIR",_xlfn.XLOOKUP(Errorlog_table[[#This Row],[AIR]],AIR_dump[[#All],[Number]],AIR_dump[[#All],[Type]],"not found",0,1)))</f>
        <v>no AIR</v>
      </c>
      <c r="R28" s="282" t="str" cm="1">
        <f t="array" ref="R28">IF(OR(Errorlog_table[[#This Row],[AIR]]="n/a",Errorlog_table[[#This Row],[Event_code]]="Y"),"n/a",IF(Errorlog_table[[#This Row],[AIR]]="","no AIR",_xlfn.XLOOKUP(Errorlog_table[[#This Row],[AIR]],AIR_dump[[#All],[Number]],AIR_dump[[#All],[Summary]],"not found",0,1)))</f>
        <v>no AIR</v>
      </c>
      <c r="S28" s="347" cm="1">
        <f t="array" ref="S28">_xlfn.XLOOKUP(Errorlog_table[[#This Row],[AIR]],AIR_dump[[#All],[Number]],AIR_dump[[#All],[Close notes]])</f>
        <v>0</v>
      </c>
      <c r="T28" s="372">
        <f>Errorlog_table[[#This Row],[Year_Week_Number]]</f>
        <v>202501</v>
      </c>
      <c r="U28" s="284" t="s">
        <v>239</v>
      </c>
      <c r="V28" s="284" t="s">
        <v>230</v>
      </c>
      <c r="W28" s="285" t="str">
        <f>Errorlog_table[[#This Row],[System]]</f>
        <v>GY86</v>
      </c>
      <c r="X28" s="366">
        <f>Errorlog_table[[#This Row],[link]]</f>
        <v>53022419</v>
      </c>
      <c r="Y28" s="277" t="str">
        <f>Errorlog_table[[#This Row],[Root_Error]]</f>
        <v>LO-105B</v>
      </c>
      <c r="Z28" s="277" t="str">
        <f>Errorlog_table[[#This Row],[Description]]</f>
        <v>EpmID:105516| SCN - LO-105B Happy Stop | LO-105B |</v>
      </c>
      <c r="AA28" s="277"/>
      <c r="AB28" s="278">
        <f ca="1">_xlfn.ISOWEEKNUM(Errorlog_table[[#This Row],[Date]])+52*(Errorlog_table[[#This Row],[Year]]-YEAR(DATE(YEAR(TODAY()-WEEKDAY(TODAY()-1)+4),1,1)-MOD((DATE(YEAR(TODAY()-WEEKDAY(TODAY()-1)+4),1,1)-2),7)+(7*IF(MOD((DATE(YEAR(TODAY()-WEEKDAY(TODAY()-1)+4),1,1)-2),7)&gt;3,1,0))+7) )-_xlfn.ISOWEEKNUM(NOW())</f>
        <v>-36</v>
      </c>
      <c r="AC28" s="277"/>
      <c r="AD28" s="291" t="str">
        <f>TEXT(Errorlog_table[[#This Row],[Date]],"yyyy-mm-dd")&amp;"_"&amp;TEXT(Errorlog_table[[#This Row],[SDT_Timestamp]],"HH:MM:SS")&amp;"_"&amp;Errorlog_table[[#This Row],[System]]</f>
        <v>2025-01-05_00:25:00_GY86</v>
      </c>
      <c r="AE28" s="287" t="str">
        <f>Errorlog_table[[#This Row],[P_Hits]]</f>
        <v>N</v>
      </c>
      <c r="AF28" s="287">
        <v>0</v>
      </c>
    </row>
    <row r="29" spans="1:32" ht="33" customHeight="1">
      <c r="A29" s="369" t="s">
        <v>7</v>
      </c>
      <c r="B29" s="277" t="str">
        <f>VLOOKUP(A29,'5000_Fleet'!A:D,2,FALSE)</f>
        <v>Intel</v>
      </c>
      <c r="C29" s="289" t="s">
        <v>291</v>
      </c>
      <c r="D29" s="289">
        <f>YEAR(DATE(YEAR(Errorlog_table[[#This Row],[Date]]-WEEKDAY(Errorlog_table[[#This Row],[Date]]-1)+4),1,1)-MOD((DATE(YEAR(Errorlog_table[[#This Row],[Date]]-WEEKDAY(Errorlog_table[[#This Row],[Date]]-1)+4),1,1)-2),7)+(7*IF(MOD((DATE(YEAR(Errorlog_table[[#This Row],[Date]]-WEEKDAY(Errorlog_table[[#This Row],[Date]]-1)+4),1,1)-2),7)&gt;3,1,0))+7)</f>
        <v>2025</v>
      </c>
      <c r="E29" s="278">
        <f>VALUE(TEXT(_xlfn.ISOWEEKNUM(Errorlog_table[[#This Row],[Date]]),"00"))</f>
        <v>1</v>
      </c>
      <c r="F29" s="410">
        <f>VALUE((Errorlog_table[[#This Row],[Year]])&amp;TEXT(Errorlog_table[[#This Row],[Week_Number]],"00"))</f>
        <v>202501</v>
      </c>
      <c r="G29" s="370">
        <v>45662</v>
      </c>
      <c r="H29" s="371" t="s">
        <v>306</v>
      </c>
      <c r="I29" s="289" t="s">
        <v>307</v>
      </c>
      <c r="J29" s="289" t="str">
        <f>IF(LEN(VALUE(MID(Errorlog_table[[#This Row],[Description]],FIND(":",Errorlog_table[[#This Row],[Description]])+1,6)))&gt;1,MID(Errorlog_table[[#This Row],[Description]],FIND(":",Errorlog_table[[#This Row],[Description]])+1,6),"")</f>
        <v>105507</v>
      </c>
      <c r="K29" s="280">
        <v>0.283333</v>
      </c>
      <c r="L29" s="277" t="s">
        <v>118</v>
      </c>
      <c r="M29" s="277">
        <v>53022653</v>
      </c>
      <c r="N29" s="277"/>
      <c r="O29" s="281">
        <f t="shared" si="0"/>
        <v>53022653</v>
      </c>
      <c r="P29" s="277">
        <f>LEN(Errorlog_table[[#This Row],[AIR]])</f>
        <v>0</v>
      </c>
      <c r="Q29" t="str" cm="1">
        <f t="array" ref="Q29">IF(OR(Errorlog_table[[#This Row],[AIR]]="n/a",Errorlog_table[[#This Row],[Event_code]]="Y"),"n/a",IF(Errorlog_table[[#This Row],[AIR]]="","no AIR",_xlfn.XLOOKUP(Errorlog_table[[#This Row],[AIR]],AIR_dump[[#All],[Number]],AIR_dump[[#All],[Type]],"not found",0,1)))</f>
        <v>no AIR</v>
      </c>
      <c r="R29" s="282" t="str">
        <f>Errorlog_table[[#This Row],[Description]]</f>
        <v>EpmID:105507| SCN - Failed to load foup on BMWL | PG-6206 |</v>
      </c>
      <c r="S29" s="347" cm="1">
        <f t="array" ref="S29">_xlfn.XLOOKUP(Errorlog_table[[#This Row],[AIR]],AIR_dump[[#All],[Number]],AIR_dump[[#All],[Close notes]])</f>
        <v>0</v>
      </c>
      <c r="T29" s="372">
        <f>Errorlog_table[[#This Row],[Year_Week_Number]]</f>
        <v>202501</v>
      </c>
      <c r="U29" s="284" t="s">
        <v>239</v>
      </c>
      <c r="V29" s="284" t="s">
        <v>230</v>
      </c>
      <c r="W29" s="285" t="str">
        <f>Errorlog_table[[#This Row],[System]]</f>
        <v>GY86</v>
      </c>
      <c r="X29" s="366">
        <f>Errorlog_table[[#This Row],[link]]</f>
        <v>53022653</v>
      </c>
      <c r="Y29" s="277" t="str">
        <f>Errorlog_table[[#This Row],[Root_Error]]</f>
        <v>PG-6206</v>
      </c>
      <c r="Z29" s="277" t="str">
        <f>Errorlog_table[[#This Row],[Description]]</f>
        <v>EpmID:105507| SCN - Failed to load foup on BMWL | PG-6206 |</v>
      </c>
      <c r="AA29" s="277"/>
      <c r="AB29" s="278">
        <f ca="1">_xlfn.ISOWEEKNUM(Errorlog_table[[#This Row],[Date]])+52*(Errorlog_table[[#This Row],[Year]]-YEAR(DATE(YEAR(TODAY()-WEEKDAY(TODAY()-1)+4),1,1)-MOD((DATE(YEAR(TODAY()-WEEKDAY(TODAY()-1)+4),1,1)-2),7)+(7*IF(MOD((DATE(YEAR(TODAY()-WEEKDAY(TODAY()-1)+4),1,1)-2),7)&gt;3,1,0))+7) )-_xlfn.ISOWEEKNUM(NOW())</f>
        <v>-36</v>
      </c>
      <c r="AC29" s="277"/>
      <c r="AD29" s="288" t="str">
        <f>TEXT(Errorlog_table[[#This Row],[Date]],"yyyy-mm-dd")&amp;"_"&amp;TEXT(Errorlog_table[[#This Row],[SDT_Timestamp]],"HH:MM:SS")&amp;"_"&amp;Errorlog_table[[#This Row],[System]]</f>
        <v>2025-01-05_10:38:00_GY86</v>
      </c>
      <c r="AE29" s="287" t="str">
        <f>Errorlog_table[[#This Row],[P_Hits]]</f>
        <v>N</v>
      </c>
      <c r="AF29" s="287">
        <v>0</v>
      </c>
    </row>
    <row r="30" spans="1:32" ht="48.75" customHeight="1">
      <c r="A30" s="369" t="s">
        <v>4</v>
      </c>
      <c r="B30" s="277" t="str">
        <f>VLOOKUP(A30,'5000_Fleet'!A:D,2,FALSE)</f>
        <v>Intel</v>
      </c>
      <c r="C30" s="289" t="s">
        <v>308</v>
      </c>
      <c r="D30" s="289">
        <f>YEAR(DATE(YEAR(Errorlog_table[[#This Row],[Date]]-WEEKDAY(Errorlog_table[[#This Row],[Date]]-1)+4),1,1)-MOD((DATE(YEAR(Errorlog_table[[#This Row],[Date]]-WEEKDAY(Errorlog_table[[#This Row],[Date]]-1)+4),1,1)-2),7)+(7*IF(MOD((DATE(YEAR(Errorlog_table[[#This Row],[Date]]-WEEKDAY(Errorlog_table[[#This Row],[Date]]-1)+4),1,1)-2),7)&gt;3,1,0))+7)</f>
        <v>2025</v>
      </c>
      <c r="E30" s="278">
        <f>VALUE(TEXT(_xlfn.ISOWEEKNUM(Errorlog_table[[#This Row],[Date]]),"00"))</f>
        <v>2</v>
      </c>
      <c r="F30" s="410">
        <f>VALUE((Errorlog_table[[#This Row],[Year]])&amp;TEXT(Errorlog_table[[#This Row],[Week_Number]],"00"))</f>
        <v>202502</v>
      </c>
      <c r="G30" s="370">
        <v>45663</v>
      </c>
      <c r="H30" s="371" t="s">
        <v>309</v>
      </c>
      <c r="I30" s="289" t="s">
        <v>310</v>
      </c>
      <c r="J30" s="289" t="str">
        <f>IF(LEN(VALUE(MID(Errorlog_table[[#This Row],[Description]],FIND(":",Errorlog_table[[#This Row],[Description]])+1,6)))&gt;1,MID(Errorlog_table[[#This Row],[Description]],FIND(":",Errorlog_table[[#This Row],[Description]])+1,6),"")</f>
        <v>105498</v>
      </c>
      <c r="K30" s="280">
        <v>3.1333329999999999</v>
      </c>
      <c r="L30" s="277" t="s">
        <v>115</v>
      </c>
      <c r="M30" s="277">
        <v>53003175</v>
      </c>
      <c r="N30" s="292" t="s">
        <v>301</v>
      </c>
      <c r="O30" s="281" t="str">
        <f t="shared" si="0"/>
        <v>P825866</v>
      </c>
      <c r="P30" s="277">
        <f>LEN(Errorlog_table[[#This Row],[AIR]])</f>
        <v>7</v>
      </c>
      <c r="Q30" t="str" cm="1">
        <f t="array" ref="Q30">IF(OR(Errorlog_table[[#This Row],[AIR]]="n/a",Errorlog_table[[#This Row],[Event_code]]="Y"),"n/a",IF(Errorlog_table[[#This Row],[AIR]]="","no AIR",_xlfn.XLOOKUP(Errorlog_table[[#This Row],[AIR]],AIR_dump[[#All],[Number]],AIR_dump[[#All],[Type]],"not found",0,1)))</f>
        <v>BD</v>
      </c>
      <c r="R30" s="282" t="str">
        <f>Errorlog_table[[#This Row],[Description]]</f>
        <v>EpmID:105498| SRC - Lot abort SRC not operational+Daily MX+Handover Checks | DW-0004 |</v>
      </c>
      <c r="S30" s="347" t="str" cm="1">
        <f t="array" ref="S30">_xlfn.XLOOKUP(Errorlog_table[[#This Row],[AIR]],AIR_dump[[#All],[Number]],AIR_dump[[#All],[Close notes]])</f>
        <v xml:space="preserve">[intake 2442]
Wk42: New issue, intake ongoing
wk42.3 Investigation ongoing, expected feedback by Trumpf wk42.4 
wk43.3: RC understood. SW Patch currently only for EZ60 as containment. Need to still find a solution direction
wk44.3: Hardware as root cause </v>
      </c>
      <c r="T30" s="372">
        <f>Errorlog_table[[#This Row],[Year_Week_Number]]</f>
        <v>202502</v>
      </c>
      <c r="U30" s="284" t="s">
        <v>239</v>
      </c>
      <c r="V30" s="284" t="s">
        <v>230</v>
      </c>
      <c r="W30" s="285" t="str">
        <f>Errorlog_table[[#This Row],[System]]</f>
        <v>CR51</v>
      </c>
      <c r="X30" s="366" t="str">
        <f>Errorlog_table[[#This Row],[link]]</f>
        <v>P825866</v>
      </c>
      <c r="Y30" s="277" t="str">
        <f>Errorlog_table[[#This Row],[Root_Error]]</f>
        <v>DW-0004</v>
      </c>
      <c r="Z30" s="277" t="str">
        <f>Errorlog_table[[#This Row],[Description]]</f>
        <v>EpmID:105498| SRC - Lot abort SRC not operational+Daily MX+Handover Checks | DW-0004 |</v>
      </c>
      <c r="AA30" s="277" t="str">
        <f t="shared" ref="AA30:AA61" si="1">IF(K30&gt;=12,"XLD","Short down")</f>
        <v>Short down</v>
      </c>
      <c r="AB30" s="278">
        <f ca="1">_xlfn.ISOWEEKNUM(Errorlog_table[[#This Row],[Date]])+52*(Errorlog_table[[#This Row],[Year]]-YEAR(DATE(YEAR(TODAY()-WEEKDAY(TODAY()-1)+4),1,1)-MOD((DATE(YEAR(TODAY()-WEEKDAY(TODAY()-1)+4),1,1)-2),7)+(7*IF(MOD((DATE(YEAR(TODAY()-WEEKDAY(TODAY()-1)+4),1,1)-2),7)&gt;3,1,0))+7) )-_xlfn.ISOWEEKNUM(NOW())</f>
        <v>-35</v>
      </c>
      <c r="AC30" s="277"/>
      <c r="AD30" s="295" t="str">
        <f>TEXT(Errorlog_table[[#This Row],[Date]],"yyyy-mm-dd")&amp;"_"&amp;TEXT(Errorlog_table[[#This Row],[SDT_Timestamp]],"HH:MM:SS")&amp;"_"&amp;Errorlog_table[[#This Row],[System]]</f>
        <v>2025-01-06_06:32:00_CR51</v>
      </c>
      <c r="AE30" s="287" t="str">
        <f>Errorlog_table[[#This Row],[P_Hits]]</f>
        <v>N</v>
      </c>
      <c r="AF30" s="287">
        <v>0</v>
      </c>
    </row>
    <row r="31" spans="1:32" ht="28.5">
      <c r="A31" s="369" t="s">
        <v>7</v>
      </c>
      <c r="B31" s="277" t="str">
        <f>VLOOKUP(A31,'5000_Fleet'!A:D,2,FALSE)</f>
        <v>Intel</v>
      </c>
      <c r="C31" s="289" t="s">
        <v>251</v>
      </c>
      <c r="D31" s="289">
        <f>YEAR(DATE(YEAR(Errorlog_table[[#This Row],[Date]]-WEEKDAY(Errorlog_table[[#This Row],[Date]]-1)+4),1,1)-MOD((DATE(YEAR(Errorlog_table[[#This Row],[Date]]-WEEKDAY(Errorlog_table[[#This Row],[Date]]-1)+4),1,1)-2),7)+(7*IF(MOD((DATE(YEAR(Errorlog_table[[#This Row],[Date]]-WEEKDAY(Errorlog_table[[#This Row],[Date]]-1)+4),1,1)-2),7)&gt;3,1,0))+7)</f>
        <v>2025</v>
      </c>
      <c r="E31" s="278">
        <f>VALUE(TEXT(_xlfn.ISOWEEKNUM(Errorlog_table[[#This Row],[Date]]),"00"))</f>
        <v>2</v>
      </c>
      <c r="F31" s="410">
        <f>VALUE((Errorlog_table[[#This Row],[Year]])&amp;TEXT(Errorlog_table[[#This Row],[Week_Number]],"00"))</f>
        <v>202502</v>
      </c>
      <c r="G31" s="370">
        <v>45663</v>
      </c>
      <c r="H31" s="371" t="s">
        <v>311</v>
      </c>
      <c r="I31" s="289" t="s">
        <v>312</v>
      </c>
      <c r="J31" s="289" t="str">
        <f>IF(LEN(VALUE(MID(Errorlog_table[[#This Row],[Description]],FIND(":",Errorlog_table[[#This Row],[Description]])+1,6)))&gt;1,MID(Errorlog_table[[#This Row],[Description]],FIND(":",Errorlog_table[[#This Row],[Description]])+1,6),"")</f>
        <v>105512</v>
      </c>
      <c r="K31" s="280">
        <v>0.73333300000000001</v>
      </c>
      <c r="L31" s="277" t="s">
        <v>126</v>
      </c>
      <c r="M31" s="277">
        <v>0</v>
      </c>
      <c r="N31" s="277" t="s">
        <v>271</v>
      </c>
      <c r="O31" s="281" t="str">
        <f t="shared" si="0"/>
        <v>P853275</v>
      </c>
      <c r="P31" s="277">
        <f>LEN(Errorlog_table[[#This Row],[AIR]])</f>
        <v>7</v>
      </c>
      <c r="Q31" cm="1">
        <f t="array" ref="Q31">IF(OR(Errorlog_table[[#This Row],[AIR]]="n/a",Errorlog_table[[#This Row],[Event_code]]="Y"),"n/a",IF(Errorlog_table[[#This Row],[AIR]]="","no AIR",_xlfn.XLOOKUP(Errorlog_table[[#This Row],[AIR]],AIR_dump[[#All],[Number]],AIR_dump[[#All],[Type]],"not found",0,1)))</f>
        <v>0</v>
      </c>
      <c r="R31" s="282" t="str" cm="1">
        <f t="array" ref="R31">IF(OR(Errorlog_table[[#This Row],[AIR]]="n/a",Errorlog_table[[#This Row],[Event_code]]="Y"),"n/a",IF(Errorlog_table[[#This Row],[AIR]]="","no AIR",_xlfn.XLOOKUP(Errorlog_table[[#This Row],[AIR]],AIR_dump[[#All],[Number]],AIR_dump[[#All],[Summary]],"not found",0,1)))</f>
        <v>P853275 - NXE:3800E and EXE:5000 Destination Violation Error ZH-221D</v>
      </c>
      <c r="S31" s="347" t="str" cm="1">
        <f t="array" ref="S31">_xlfn.XLOOKUP(Errorlog_table[[#This Row],[AIR]],AIR_dump[[#All],[Number]],AIR_dump[[#All],[Close notes]])</f>
        <v>Firmware delivered W19 (COB swap done)</v>
      </c>
      <c r="T31" s="372">
        <f>Errorlog_table[[#This Row],[Year_Week_Number]]</f>
        <v>202502</v>
      </c>
      <c r="U31" s="284" t="s">
        <v>230</v>
      </c>
      <c r="V31" s="284" t="s">
        <v>230</v>
      </c>
      <c r="W31" s="285" t="str">
        <f>Errorlog_table[[#This Row],[System]]</f>
        <v>GY86</v>
      </c>
      <c r="X31" s="366" t="str">
        <f>Errorlog_table[[#This Row],[link]]</f>
        <v>P853275</v>
      </c>
      <c r="Y31" s="277" t="str">
        <f>Errorlog_table[[#This Row],[Root_Error]]</f>
        <v>ZH-221D</v>
      </c>
      <c r="Z31" s="277" t="str">
        <f>Errorlog_table[[#This Row],[Description]]</f>
        <v>EpmID:105512| SCN - ZH-221D Error Recovery | ZH-221D |</v>
      </c>
      <c r="AA31" s="277" t="str">
        <f t="shared" si="1"/>
        <v>Short down</v>
      </c>
      <c r="AB31" s="278">
        <f ca="1">_xlfn.ISOWEEKNUM(Errorlog_table[[#This Row],[Date]])+52*(Errorlog_table[[#This Row],[Year]]-YEAR(DATE(YEAR(TODAY()-WEEKDAY(TODAY()-1)+4),1,1)-MOD((DATE(YEAR(TODAY()-WEEKDAY(TODAY()-1)+4),1,1)-2),7)+(7*IF(MOD((DATE(YEAR(TODAY()-WEEKDAY(TODAY()-1)+4),1,1)-2),7)&gt;3,1,0))+7) )-_xlfn.ISOWEEKNUM(NOW())</f>
        <v>-35</v>
      </c>
      <c r="AC31" s="277"/>
      <c r="AD31" s="295" t="str">
        <f>TEXT(Errorlog_table[[#This Row],[Date]],"yyyy-mm-dd")&amp;"_"&amp;TEXT(Errorlog_table[[#This Row],[SDT_Timestamp]],"HH:MM:SS")&amp;"_"&amp;Errorlog_table[[#This Row],[System]]</f>
        <v>2025-01-06_01:44:00_GY86</v>
      </c>
      <c r="AE31" s="287" t="str">
        <f>Errorlog_table[[#This Row],[P_Hits]]</f>
        <v>Y</v>
      </c>
      <c r="AF31" s="287">
        <v>0</v>
      </c>
    </row>
    <row r="32" spans="1:32" ht="28.5">
      <c r="A32" s="369" t="s">
        <v>7</v>
      </c>
      <c r="B32" s="277" t="str">
        <f>VLOOKUP(A32,'5000_Fleet'!A:D,2,FALSE)</f>
        <v>Intel</v>
      </c>
      <c r="C32" s="289" t="s">
        <v>184</v>
      </c>
      <c r="D32" s="289">
        <f>YEAR(DATE(YEAR(Errorlog_table[[#This Row],[Date]]-WEEKDAY(Errorlog_table[[#This Row],[Date]]-1)+4),1,1)-MOD((DATE(YEAR(Errorlog_table[[#This Row],[Date]]-WEEKDAY(Errorlog_table[[#This Row],[Date]]-1)+4),1,1)-2),7)+(7*IF(MOD((DATE(YEAR(Errorlog_table[[#This Row],[Date]]-WEEKDAY(Errorlog_table[[#This Row],[Date]]-1)+4),1,1)-2),7)&gt;3,1,0))+7)</f>
        <v>2025</v>
      </c>
      <c r="E32" s="278">
        <f>VALUE(TEXT(_xlfn.ISOWEEKNUM(Errorlog_table[[#This Row],[Date]]),"00"))</f>
        <v>2</v>
      </c>
      <c r="F32" s="410">
        <f>VALUE((Errorlog_table[[#This Row],[Year]])&amp;TEXT(Errorlog_table[[#This Row],[Week_Number]],"00"))</f>
        <v>202502</v>
      </c>
      <c r="G32" s="370">
        <v>45664</v>
      </c>
      <c r="H32" s="371" t="s">
        <v>313</v>
      </c>
      <c r="I32" s="289" t="s">
        <v>314</v>
      </c>
      <c r="J32" s="289" t="str">
        <f>IF(LEN(VALUE(MID(Errorlog_table[[#This Row],[Description]],FIND(":",Errorlog_table[[#This Row],[Description]])+1,6)))&gt;1,MID(Errorlog_table[[#This Row],[Description]],FIND(":",Errorlog_table[[#This Row],[Description]])+1,6),"")</f>
        <v>105646</v>
      </c>
      <c r="K32" s="280">
        <v>14.766667</v>
      </c>
      <c r="L32" s="277" t="s">
        <v>315</v>
      </c>
      <c r="M32" s="277">
        <v>0</v>
      </c>
      <c r="N32" s="277" t="s">
        <v>316</v>
      </c>
      <c r="O32" s="281" t="str">
        <f t="shared" si="0"/>
        <v>P817298</v>
      </c>
      <c r="P32" s="277">
        <f>LEN(Errorlog_table[[#This Row],[AIR]])</f>
        <v>7</v>
      </c>
      <c r="Q32" cm="1">
        <f t="array" ref="Q32">IF(OR(Errorlog_table[[#This Row],[AIR]]="n/a",Errorlog_table[[#This Row],[Event_code]]="Y"),"n/a",IF(Errorlog_table[[#This Row],[AIR]]="","no AIR",_xlfn.XLOOKUP(Errorlog_table[[#This Row],[AIR]],AIR_dump[[#All],[Number]],AIR_dump[[#All],[Type]],"not found",0,1)))</f>
        <v>0</v>
      </c>
      <c r="R32" s="282" t="str" cm="1">
        <f t="array" ref="R32">IF(OR(Errorlog_table[[#This Row],[AIR]]="n/a",Errorlog_table[[#This Row],[Event_code]]="Y"),"n/a",IF(Errorlog_table[[#This Row],[AIR]]="","no AIR",_xlfn.XLOOKUP(Errorlog_table[[#This Row],[AIR]],AIR_dump[[#All],[Number]],AIR_dump[[#All],[Summary]],"not found",0,1)))</f>
        <v>EQHBMI (Coarse POB Calibration) Fails due to [CN-00C0] Closed connection due to read timeo</v>
      </c>
      <c r="S32" s="347" t="str" cm="1">
        <f t="array" ref="S32">_xlfn.XLOOKUP(Errorlog_table[[#This Row],[AIR]],AIR_dump[[#All],[Number]],AIR_dump[[#All],[Close notes]])</f>
        <v>sp 22</v>
      </c>
      <c r="T32" s="372">
        <f>Errorlog_table[[#This Row],[Year_Week_Number]]</f>
        <v>202502</v>
      </c>
      <c r="U32" s="284" t="s">
        <v>230</v>
      </c>
      <c r="V32" s="284" t="s">
        <v>230</v>
      </c>
      <c r="W32" s="285" t="str">
        <f>Errorlog_table[[#This Row],[System]]</f>
        <v>GY86</v>
      </c>
      <c r="X32" s="366" t="str">
        <f>Errorlog_table[[#This Row],[link]]</f>
        <v>P817298</v>
      </c>
      <c r="Y32" s="277" t="str">
        <f>Errorlog_table[[#This Row],[Root_Error]]</f>
        <v>IS-1363</v>
      </c>
      <c r="Z32" s="277" t="str">
        <f>Errorlog_table[[#This Row],[Description]]</f>
        <v>EpmID:105646| SCN - IS-1363 Lot Abort | IS-1363 |</v>
      </c>
      <c r="AA32" s="277" t="str">
        <f t="shared" si="1"/>
        <v>XLD</v>
      </c>
      <c r="AB32" s="278">
        <f ca="1">_xlfn.ISOWEEKNUM(Errorlog_table[[#This Row],[Date]])+52*(Errorlog_table[[#This Row],[Year]]-YEAR(DATE(YEAR(TODAY()-WEEKDAY(TODAY()-1)+4),1,1)-MOD((DATE(YEAR(TODAY()-WEEKDAY(TODAY()-1)+4),1,1)-2),7)+(7*IF(MOD((DATE(YEAR(TODAY()-WEEKDAY(TODAY()-1)+4),1,1)-2),7)&gt;3,1,0))+7) )-_xlfn.ISOWEEKNUM(NOW())</f>
        <v>-35</v>
      </c>
      <c r="AC32" s="277"/>
      <c r="AD32" s="295" t="str">
        <f>TEXT(Errorlog_table[[#This Row],[Date]],"yyyy-mm-dd")&amp;"_"&amp;TEXT(Errorlog_table[[#This Row],[SDT_Timestamp]],"HH:MM:SS")&amp;"_"&amp;Errorlog_table[[#This Row],[System]]</f>
        <v>2025-01-07_06:19:00_GY86</v>
      </c>
      <c r="AE32" s="287" t="str">
        <f>Errorlog_table[[#This Row],[P_Hits]]</f>
        <v>Y</v>
      </c>
      <c r="AF32" s="287">
        <v>0</v>
      </c>
    </row>
    <row r="33" spans="1:32" ht="28.5">
      <c r="A33" s="369" t="s">
        <v>7</v>
      </c>
      <c r="B33" s="277" t="str">
        <f>VLOOKUP(A33,'5000_Fleet'!A:D,2,FALSE)</f>
        <v>Intel</v>
      </c>
      <c r="C33" s="289" t="s">
        <v>251</v>
      </c>
      <c r="D33" s="289">
        <f>YEAR(DATE(YEAR(Errorlog_table[[#This Row],[Date]]-WEEKDAY(Errorlog_table[[#This Row],[Date]]-1)+4),1,1)-MOD((DATE(YEAR(Errorlog_table[[#This Row],[Date]]-WEEKDAY(Errorlog_table[[#This Row],[Date]]-1)+4),1,1)-2),7)+(7*IF(MOD((DATE(YEAR(Errorlog_table[[#This Row],[Date]]-WEEKDAY(Errorlog_table[[#This Row],[Date]]-1)+4),1,1)-2),7)&gt;3,1,0))+7)</f>
        <v>2025</v>
      </c>
      <c r="E33" s="278">
        <f>VALUE(TEXT(_xlfn.ISOWEEKNUM(Errorlog_table[[#This Row],[Date]]),"00"))</f>
        <v>2</v>
      </c>
      <c r="F33" s="410">
        <f>VALUE((Errorlog_table[[#This Row],[Year]])&amp;TEXT(Errorlog_table[[#This Row],[Week_Number]],"00"))</f>
        <v>202502</v>
      </c>
      <c r="G33" s="370">
        <v>45664</v>
      </c>
      <c r="H33" s="371" t="s">
        <v>317</v>
      </c>
      <c r="I33" s="289" t="s">
        <v>318</v>
      </c>
      <c r="J33" s="289" t="str">
        <f>IF(LEN(VALUE(MID(Errorlog_table[[#This Row],[Description]],FIND(":",Errorlog_table[[#This Row],[Description]])+1,6)))&gt;1,MID(Errorlog_table[[#This Row],[Description]],FIND(":",Errorlog_table[[#This Row],[Description]])+1,6),"")</f>
        <v>105650</v>
      </c>
      <c r="K33" s="280">
        <v>1.1499999999999999</v>
      </c>
      <c r="L33" s="277" t="s">
        <v>126</v>
      </c>
      <c r="M33" s="277">
        <v>0</v>
      </c>
      <c r="N33" s="277" t="s">
        <v>271</v>
      </c>
      <c r="O33" s="281" t="str">
        <f t="shared" si="0"/>
        <v>P853275</v>
      </c>
      <c r="P33" s="277">
        <f>LEN(Errorlog_table[[#This Row],[AIR]])</f>
        <v>7</v>
      </c>
      <c r="Q33" cm="1">
        <f t="array" ref="Q33">IF(OR(Errorlog_table[[#This Row],[AIR]]="n/a",Errorlog_table[[#This Row],[Event_code]]="Y"),"n/a",IF(Errorlog_table[[#This Row],[AIR]]="","no AIR",_xlfn.XLOOKUP(Errorlog_table[[#This Row],[AIR]],AIR_dump[[#All],[Number]],AIR_dump[[#All],[Type]],"not found",0,1)))</f>
        <v>0</v>
      </c>
      <c r="R33" s="282" t="str" cm="1">
        <f t="array" ref="R33">IF(OR(Errorlog_table[[#This Row],[AIR]]="n/a",Errorlog_table[[#This Row],[Event_code]]="Y"),"n/a",IF(Errorlog_table[[#This Row],[AIR]]="","no AIR",_xlfn.XLOOKUP(Errorlog_table[[#This Row],[AIR]],AIR_dump[[#All],[Number]],AIR_dump[[#All],[Summary]],"not found",0,1)))</f>
        <v>P853275 - NXE:3800E and EXE:5000 Destination Violation Error ZH-221D</v>
      </c>
      <c r="S33" s="347" t="str" cm="1">
        <f t="array" ref="S33">_xlfn.XLOOKUP(Errorlog_table[[#This Row],[AIR]],AIR_dump[[#All],[Number]],AIR_dump[[#All],[Close notes]])</f>
        <v>Firmware delivered W19 (COB swap done)</v>
      </c>
      <c r="T33" s="372">
        <f>Errorlog_table[[#This Row],[Year_Week_Number]]</f>
        <v>202502</v>
      </c>
      <c r="U33" s="284" t="s">
        <v>230</v>
      </c>
      <c r="V33" s="284" t="s">
        <v>230</v>
      </c>
      <c r="W33" s="285" t="str">
        <f>Errorlog_table[[#This Row],[System]]</f>
        <v>GY86</v>
      </c>
      <c r="X33" s="366" t="str">
        <f>Errorlog_table[[#This Row],[link]]</f>
        <v>P853275</v>
      </c>
      <c r="Y33" s="277" t="str">
        <f>Errorlog_table[[#This Row],[Root_Error]]</f>
        <v>ZH-221D</v>
      </c>
      <c r="Z33" s="277" t="str">
        <f>Errorlog_table[[#This Row],[Description]]</f>
        <v>EpmID:105650| SCN - ZH-221D error (Lot Abort) | ZH-221D |</v>
      </c>
      <c r="AA33" s="277" t="str">
        <f t="shared" si="1"/>
        <v>Short down</v>
      </c>
      <c r="AB33" s="278">
        <f ca="1">_xlfn.ISOWEEKNUM(Errorlog_table[[#This Row],[Date]])+52*(Errorlog_table[[#This Row],[Year]]-YEAR(DATE(YEAR(TODAY()-WEEKDAY(TODAY()-1)+4),1,1)-MOD((DATE(YEAR(TODAY()-WEEKDAY(TODAY()-1)+4),1,1)-2),7)+(7*IF(MOD((DATE(YEAR(TODAY()-WEEKDAY(TODAY()-1)+4),1,1)-2),7)&gt;3,1,0))+7) )-_xlfn.ISOWEEKNUM(NOW())</f>
        <v>-35</v>
      </c>
      <c r="AC33" s="277"/>
      <c r="AD33" s="295" t="str">
        <f>TEXT(Errorlog_table[[#This Row],[Date]],"yyyy-mm-dd")&amp;"_"&amp;TEXT(Errorlog_table[[#This Row],[SDT_Timestamp]],"HH:MM:SS")&amp;"_"&amp;Errorlog_table[[#This Row],[System]]</f>
        <v>2025-01-07_02:24:00_GY86</v>
      </c>
      <c r="AE33" s="287" t="str">
        <f>Errorlog_table[[#This Row],[P_Hits]]</f>
        <v>Y</v>
      </c>
      <c r="AF33" s="287">
        <v>0</v>
      </c>
    </row>
    <row r="34" spans="1:32" ht="14.85" customHeight="1">
      <c r="A34" s="369" t="s">
        <v>4</v>
      </c>
      <c r="B34" s="277" t="str">
        <f>VLOOKUP(A34,'5000_Fleet'!A:D,2,FALSE)</f>
        <v>Intel</v>
      </c>
      <c r="C34" s="289" t="s">
        <v>240</v>
      </c>
      <c r="D34" s="289">
        <f>YEAR(DATE(YEAR(Errorlog_table[[#This Row],[Date]]-WEEKDAY(Errorlog_table[[#This Row],[Date]]-1)+4),1,1)-MOD((DATE(YEAR(Errorlog_table[[#This Row],[Date]]-WEEKDAY(Errorlog_table[[#This Row],[Date]]-1)+4),1,1)-2),7)+(7*IF(MOD((DATE(YEAR(Errorlog_table[[#This Row],[Date]]-WEEKDAY(Errorlog_table[[#This Row],[Date]]-1)+4),1,1)-2),7)&gt;3,1,0))+7)</f>
        <v>2025</v>
      </c>
      <c r="E34" s="278">
        <f>VALUE(TEXT(_xlfn.ISOWEEKNUM(Errorlog_table[[#This Row],[Date]]),"00"))</f>
        <v>2</v>
      </c>
      <c r="F34" s="410">
        <f>VALUE((Errorlog_table[[#This Row],[Year]])&amp;TEXT(Errorlog_table[[#This Row],[Week_Number]],"00"))</f>
        <v>202502</v>
      </c>
      <c r="G34" s="370">
        <v>45666</v>
      </c>
      <c r="H34" s="371" t="s">
        <v>319</v>
      </c>
      <c r="I34" s="289" t="s">
        <v>320</v>
      </c>
      <c r="J34" s="289" t="str">
        <f>IF(LEN(VALUE(MID(Errorlog_table[[#This Row],[Description]],FIND(":",Errorlog_table[[#This Row],[Description]])+1,6)))&gt;1,MID(Errorlog_table[[#This Row],[Description]],FIND(":",Errorlog_table[[#This Row],[Description]])+1,6),"")</f>
        <v>106262</v>
      </c>
      <c r="K34" s="280">
        <v>3.7</v>
      </c>
      <c r="L34" s="277" t="s">
        <v>321</v>
      </c>
      <c r="M34" s="277">
        <v>0</v>
      </c>
      <c r="N34" s="277" t="s">
        <v>243</v>
      </c>
      <c r="O34" s="281" t="str">
        <f t="shared" ref="O34:O65" si="2">IF(N34="",HYPERLINK("https://air.asml.com/textsearch.do?sysparm_search="&amp;M34,M34),HYPERLINK("https://air.asml.com/u_qm_issues.do?sysparm_query=number="&amp;N34,N34))</f>
        <v>P820381</v>
      </c>
      <c r="P34" s="277">
        <f>LEN(Errorlog_table[[#This Row],[AIR]])</f>
        <v>7</v>
      </c>
      <c r="Q34" cm="1">
        <f t="array" ref="Q34">IF(OR(Errorlog_table[[#This Row],[AIR]]="n/a",Errorlog_table[[#This Row],[Event_code]]="Y"),"n/a",IF(Errorlog_table[[#This Row],[AIR]]="","no AIR",_xlfn.XLOOKUP(Errorlog_table[[#This Row],[AIR]],AIR_dump[[#All],[Number]],AIR_dump[[#All],[Type]],"not found",0,1)))</f>
        <v>0</v>
      </c>
      <c r="R34" s="282" t="str" cm="1">
        <f t="array" ref="R34">IF(OR(Errorlog_table[[#This Row],[AIR]]="n/a",Errorlog_table[[#This Row],[Event_code]]="Y"),"n/a",IF(Errorlog_table[[#This Row],[AIR]]="","no AIR",_xlfn.XLOOKUP(Errorlog_table[[#This Row],[AIR]],AIR_dump[[#All],[Number]],AIR_dump[[#All],[Summary]],"not found",0,1)))</f>
        <v>P820381 - |Proto2| |VHV| |mEX04| Lot Abort Due to DW-56C6 Real Time Sensor Link communication with D</v>
      </c>
      <c r="S34" s="347" t="str" cm="1">
        <f t="array" ref="S34">_xlfn.XLOOKUP(Errorlog_table[[#This Row],[AIR]],AIR_dump[[#All],[Number]],AIR_dump[[#All],[Close notes]])</f>
        <v>Containment in SP22 since not occurred</v>
      </c>
      <c r="T34" s="372">
        <f>Errorlog_table[[#This Row],[Year_Week_Number]]</f>
        <v>202502</v>
      </c>
      <c r="U34" s="284" t="s">
        <v>239</v>
      </c>
      <c r="V34" s="284" t="s">
        <v>230</v>
      </c>
      <c r="W34" s="285" t="str">
        <f>Errorlog_table[[#This Row],[System]]</f>
        <v>CR51</v>
      </c>
      <c r="X34" s="366" t="str">
        <f>Errorlog_table[[#This Row],[link]]</f>
        <v>P820381</v>
      </c>
      <c r="Y34" s="277" t="str">
        <f>Errorlog_table[[#This Row],[Root_Error]]</f>
        <v>DW-56C6</v>
      </c>
      <c r="Z34" s="277" t="str">
        <f>Errorlog_table[[#This Row],[Description]]</f>
        <v>EpmID:106262| SCN - Lot Abort for Real Time Sensor Link communication error | DW-56C6 |</v>
      </c>
      <c r="AA34" s="277" t="str">
        <f t="shared" si="1"/>
        <v>Short down</v>
      </c>
      <c r="AB34" s="278">
        <f ca="1">_xlfn.ISOWEEKNUM(Errorlog_table[[#This Row],[Date]])+52*(Errorlog_table[[#This Row],[Year]]-YEAR(DATE(YEAR(TODAY()-WEEKDAY(TODAY()-1)+4),1,1)-MOD((DATE(YEAR(TODAY()-WEEKDAY(TODAY()-1)+4),1,1)-2),7)+(7*IF(MOD((DATE(YEAR(TODAY()-WEEKDAY(TODAY()-1)+4),1,1)-2),7)&gt;3,1,0))+7) )-_xlfn.ISOWEEKNUM(NOW())</f>
        <v>-35</v>
      </c>
      <c r="AC34" s="277"/>
      <c r="AD34" s="295" t="str">
        <f>TEXT(Errorlog_table[[#This Row],[Date]],"yyyy-mm-dd")&amp;"_"&amp;TEXT(Errorlog_table[[#This Row],[SDT_Timestamp]],"HH:MM:SS")&amp;"_"&amp;Errorlog_table[[#This Row],[System]]</f>
        <v>2025-01-09_16:29:00_CR51</v>
      </c>
      <c r="AE34" s="287" t="str">
        <f>Errorlog_table[[#This Row],[P_Hits]]</f>
        <v>N</v>
      </c>
      <c r="AF34" s="287">
        <v>0</v>
      </c>
    </row>
    <row r="35" spans="1:32" ht="43.5" customHeight="1">
      <c r="A35" s="369" t="s">
        <v>7</v>
      </c>
      <c r="B35" s="277" t="str">
        <f>VLOOKUP(A35,'5000_Fleet'!A:D,2,FALSE)</f>
        <v>Intel</v>
      </c>
      <c r="C35" s="289" t="s">
        <v>171</v>
      </c>
      <c r="D35" s="289">
        <f>YEAR(DATE(YEAR(Errorlog_table[[#This Row],[Date]]-WEEKDAY(Errorlog_table[[#This Row],[Date]]-1)+4),1,1)-MOD((DATE(YEAR(Errorlog_table[[#This Row],[Date]]-WEEKDAY(Errorlog_table[[#This Row],[Date]]-1)+4),1,1)-2),7)+(7*IF(MOD((DATE(YEAR(Errorlog_table[[#This Row],[Date]]-WEEKDAY(Errorlog_table[[#This Row],[Date]]-1)+4),1,1)-2),7)&gt;3,1,0))+7)</f>
        <v>2025</v>
      </c>
      <c r="E35" s="278">
        <f>VALUE(TEXT(_xlfn.ISOWEEKNUM(Errorlog_table[[#This Row],[Date]]),"00"))</f>
        <v>2</v>
      </c>
      <c r="F35" s="410">
        <f>VALUE((Errorlog_table[[#This Row],[Year]])&amp;TEXT(Errorlog_table[[#This Row],[Week_Number]],"00"))</f>
        <v>202502</v>
      </c>
      <c r="G35" s="370">
        <v>45666</v>
      </c>
      <c r="H35" s="371" t="s">
        <v>322</v>
      </c>
      <c r="I35" s="289" t="s">
        <v>323</v>
      </c>
      <c r="J35" s="289" t="str">
        <f>IF(LEN(VALUE(MID(Errorlog_table[[#This Row],[Description]],FIND(":",Errorlog_table[[#This Row],[Description]])+1,6)))&gt;1,MID(Errorlog_table[[#This Row],[Description]],FIND(":",Errorlog_table[[#This Row],[Description]])+1,6),"")</f>
        <v>106269</v>
      </c>
      <c r="K35" s="280">
        <v>0.61666699999999997</v>
      </c>
      <c r="L35" s="277" t="s">
        <v>234</v>
      </c>
      <c r="M35" s="277">
        <v>53029042</v>
      </c>
      <c r="N35" s="292" t="s">
        <v>324</v>
      </c>
      <c r="O35" s="281" t="str">
        <f t="shared" si="2"/>
        <v>P732021</v>
      </c>
      <c r="P35" s="277">
        <f>LEN(Errorlog_table[[#This Row],[AIR]])</f>
        <v>7</v>
      </c>
      <c r="Q35" t="str" cm="1">
        <f t="array" ref="Q35">IF(OR(Errorlog_table[[#This Row],[AIR]]="n/a",Errorlog_table[[#This Row],[Event_code]]="Y"),"n/a",IF(Errorlog_table[[#This Row],[AIR]]="","no AIR",_xlfn.XLOOKUP(Errorlog_table[[#This Row],[AIR]],AIR_dump[[#All],[Number]],AIR_dump[[#All],[Type]],"not found",0,1)))</f>
        <v>BD</v>
      </c>
      <c r="R35" s="282" t="str">
        <f>Errorlog_table[[#This Row],[Description]]</f>
        <v>EpmID:106269| SRC -  laser failed for LAA-010B | LAA-010B |</v>
      </c>
      <c r="S35" s="347" t="str" cm="1">
        <f t="array" ref="S35">_xlfn.XLOOKUP(Errorlog_table[[#This Row],[AIR]],AIR_dump[[#All],[Number]],AIR_dump[[#All],[Close notes]])</f>
        <v>[intake 2430]
wk34.3: Comeback in wk35 for robust solution for SPA 141
wk32.2 As mentioned today in 9am, project agreed to investigate solution direction for this issue ( check if we can  add timing delay in the SF 15 side for MX).
 Comeback expected in W</v>
      </c>
      <c r="T35" s="372">
        <f>Errorlog_table[[#This Row],[Year_Week_Number]]</f>
        <v>202502</v>
      </c>
      <c r="U35" s="284" t="s">
        <v>239</v>
      </c>
      <c r="V35" s="284" t="s">
        <v>230</v>
      </c>
      <c r="W35" s="285" t="str">
        <f>Errorlog_table[[#This Row],[System]]</f>
        <v>GY86</v>
      </c>
      <c r="X35" s="366" t="str">
        <f>Errorlog_table[[#This Row],[link]]</f>
        <v>P732021</v>
      </c>
      <c r="Y35" s="277" t="str">
        <f>Errorlog_table[[#This Row],[Root_Error]]</f>
        <v>LAA-010B</v>
      </c>
      <c r="Z35" s="277" t="str">
        <f>Errorlog_table[[#This Row],[Description]]</f>
        <v>EpmID:106269| SRC -  laser failed for LAA-010B | LAA-010B |</v>
      </c>
      <c r="AA35" s="277" t="str">
        <f t="shared" si="1"/>
        <v>Short down</v>
      </c>
      <c r="AB35" s="278">
        <f ca="1">_xlfn.ISOWEEKNUM(Errorlog_table[[#This Row],[Date]])+52*(Errorlog_table[[#This Row],[Year]]-YEAR(DATE(YEAR(TODAY()-WEEKDAY(TODAY()-1)+4),1,1)-MOD((DATE(YEAR(TODAY()-WEEKDAY(TODAY()-1)+4),1,1)-2),7)+(7*IF(MOD((DATE(YEAR(TODAY()-WEEKDAY(TODAY()-1)+4),1,1)-2),7)&gt;3,1,0))+7) )-_xlfn.ISOWEEKNUM(NOW())</f>
        <v>-35</v>
      </c>
      <c r="AC35" s="277"/>
      <c r="AD35" s="295" t="str">
        <f>TEXT(Errorlog_table[[#This Row],[Date]],"yyyy-mm-dd")&amp;"_"&amp;TEXT(Errorlog_table[[#This Row],[SDT_Timestamp]],"HH:MM:SS")&amp;"_"&amp;Errorlog_table[[#This Row],[System]]</f>
        <v>2025-01-09_21:22:00_GY86</v>
      </c>
      <c r="AE35" s="287" t="str">
        <f>Errorlog_table[[#This Row],[P_Hits]]</f>
        <v>N</v>
      </c>
      <c r="AF35" s="287">
        <v>0</v>
      </c>
    </row>
    <row r="36" spans="1:32" ht="25.5" customHeight="1">
      <c r="A36" s="369" t="s">
        <v>4</v>
      </c>
      <c r="B36" s="277" t="str">
        <f>VLOOKUP(A36,'5000_Fleet'!A:D,2,FALSE)</f>
        <v>Intel</v>
      </c>
      <c r="C36" s="289" t="s">
        <v>325</v>
      </c>
      <c r="D36" s="289">
        <f>YEAR(DATE(YEAR(Errorlog_table[[#This Row],[Date]]-WEEKDAY(Errorlog_table[[#This Row],[Date]]-1)+4),1,1)-MOD((DATE(YEAR(Errorlog_table[[#This Row],[Date]]-WEEKDAY(Errorlog_table[[#This Row],[Date]]-1)+4),1,1)-2),7)+(7*IF(MOD((DATE(YEAR(Errorlog_table[[#This Row],[Date]]-WEEKDAY(Errorlog_table[[#This Row],[Date]]-1)+4),1,1)-2),7)&gt;3,1,0))+7)</f>
        <v>2025</v>
      </c>
      <c r="E36" s="278">
        <f>VALUE(TEXT(_xlfn.ISOWEEKNUM(Errorlog_table[[#This Row],[Date]]),"00"))</f>
        <v>2</v>
      </c>
      <c r="F36" s="410">
        <f>VALUE((Errorlog_table[[#This Row],[Year]])&amp;TEXT(Errorlog_table[[#This Row],[Week_Number]],"00"))</f>
        <v>202502</v>
      </c>
      <c r="G36" s="370">
        <v>45667</v>
      </c>
      <c r="H36" s="371" t="s">
        <v>326</v>
      </c>
      <c r="I36" s="289" t="s">
        <v>327</v>
      </c>
      <c r="J36" s="289" t="str">
        <f>IF(LEN(VALUE(MID(Errorlog_table[[#This Row],[Description]],FIND(":",Errorlog_table[[#This Row],[Description]])+1,6)))&gt;1,MID(Errorlog_table[[#This Row],[Description]],FIND(":",Errorlog_table[[#This Row],[Description]])+1,6),"")</f>
        <v>106345</v>
      </c>
      <c r="K36" s="280">
        <v>0.51666699999999999</v>
      </c>
      <c r="L36" s="277" t="s">
        <v>10</v>
      </c>
      <c r="M36" s="277">
        <v>53021877</v>
      </c>
      <c r="N36" s="277" t="s">
        <v>328</v>
      </c>
      <c r="O36" s="281" t="str">
        <f t="shared" si="2"/>
        <v>Lot_Stop</v>
      </c>
      <c r="P36" s="277">
        <f>LEN(Errorlog_table[[#This Row],[AIR]])</f>
        <v>8</v>
      </c>
      <c r="Q36" t="str" cm="1">
        <f t="array" ref="Q36">IF(OR(Errorlog_table[[#This Row],[AIR]]="n/a",Errorlog_table[[#This Row],[Event_code]]="Y"),"n/a",IF(Errorlog_table[[#This Row],[AIR]]="","no AIR",_xlfn.XLOOKUP(Errorlog_table[[#This Row],[AIR]],AIR_dump[[#All],[Number]],AIR_dump[[#All],[Type]],"not found",0,1)))</f>
        <v>not found</v>
      </c>
      <c r="R36" s="282" t="str">
        <f>Errorlog_table[[#This Row],[Description]]</f>
        <v>EpmID:106345| SCN - LOT failed to start |  |</v>
      </c>
      <c r="S36" s="347" t="e" cm="1">
        <f t="array" ref="S36">_xlfn.XLOOKUP(Errorlog_table[[#This Row],[AIR]],AIR_dump[[#All],[Number]],AIR_dump[[#All],[Close notes]])</f>
        <v>#N/A</v>
      </c>
      <c r="T36" s="372">
        <f>Errorlog_table[[#This Row],[Year_Week_Number]]</f>
        <v>202502</v>
      </c>
      <c r="U36" s="284" t="s">
        <v>239</v>
      </c>
      <c r="V36" s="284" t="s">
        <v>230</v>
      </c>
      <c r="W36" s="285" t="str">
        <f>Errorlog_table[[#This Row],[System]]</f>
        <v>CR51</v>
      </c>
      <c r="X36" s="366" t="str">
        <f>Errorlog_table[[#This Row],[link]]</f>
        <v>Lot_Stop</v>
      </c>
      <c r="Y36" s="277" t="str">
        <f>Errorlog_table[[#This Row],[Root_Error]]</f>
        <v>LO-STOP</v>
      </c>
      <c r="Z36" s="277" t="str">
        <f>Errorlog_table[[#This Row],[Description]]</f>
        <v>EpmID:106345| SCN - LOT failed to start |  |</v>
      </c>
      <c r="AA36" s="277" t="str">
        <f t="shared" si="1"/>
        <v>Short down</v>
      </c>
      <c r="AB36" s="278">
        <f ca="1">_xlfn.ISOWEEKNUM(Errorlog_table[[#This Row],[Date]])+52*(Errorlog_table[[#This Row],[Year]]-YEAR(DATE(YEAR(TODAY()-WEEKDAY(TODAY()-1)+4),1,1)-MOD((DATE(YEAR(TODAY()-WEEKDAY(TODAY()-1)+4),1,1)-2),7)+(7*IF(MOD((DATE(YEAR(TODAY()-WEEKDAY(TODAY()-1)+4),1,1)-2),7)&gt;3,1,0))+7) )-_xlfn.ISOWEEKNUM(NOW())</f>
        <v>-35</v>
      </c>
      <c r="AC36" s="277"/>
      <c r="AD36" s="295" t="str">
        <f>TEXT(Errorlog_table[[#This Row],[Date]],"yyyy-mm-dd")&amp;"_"&amp;TEXT(Errorlog_table[[#This Row],[SDT_Timestamp]],"HH:MM:SS")&amp;"_"&amp;Errorlog_table[[#This Row],[System]]</f>
        <v>2025-01-10_22:31:00_CR51</v>
      </c>
      <c r="AE36" s="287" t="str">
        <f>Errorlog_table[[#This Row],[P_Hits]]</f>
        <v>N</v>
      </c>
      <c r="AF36" s="287">
        <v>0</v>
      </c>
    </row>
    <row r="37" spans="1:32" ht="43.5" customHeight="1">
      <c r="A37" s="369" t="s">
        <v>7</v>
      </c>
      <c r="B37" s="277" t="str">
        <f>VLOOKUP(A37,'5000_Fleet'!A:D,2,FALSE)</f>
        <v>Intel</v>
      </c>
      <c r="C37" s="289" t="s">
        <v>171</v>
      </c>
      <c r="D37" s="289">
        <f>YEAR(DATE(YEAR(Errorlog_table[[#This Row],[Date]]-WEEKDAY(Errorlog_table[[#This Row],[Date]]-1)+4),1,1)-MOD((DATE(YEAR(Errorlog_table[[#This Row],[Date]]-WEEKDAY(Errorlog_table[[#This Row],[Date]]-1)+4),1,1)-2),7)+(7*IF(MOD((DATE(YEAR(Errorlog_table[[#This Row],[Date]]-WEEKDAY(Errorlog_table[[#This Row],[Date]]-1)+4),1,1)-2),7)&gt;3,1,0))+7)</f>
        <v>2025</v>
      </c>
      <c r="E37" s="278">
        <f>VALUE(TEXT(_xlfn.ISOWEEKNUM(Errorlog_table[[#This Row],[Date]]),"00"))</f>
        <v>2</v>
      </c>
      <c r="F37" s="410">
        <f>VALUE((Errorlog_table[[#This Row],[Year]])&amp;TEXT(Errorlog_table[[#This Row],[Week_Number]],"00"))</f>
        <v>202502</v>
      </c>
      <c r="G37" s="370">
        <v>45668</v>
      </c>
      <c r="H37" s="371" t="s">
        <v>329</v>
      </c>
      <c r="I37" s="289" t="s">
        <v>330</v>
      </c>
      <c r="J37" s="289" t="str">
        <f>IF(LEN(VALUE(MID(Errorlog_table[[#This Row],[Description]],FIND(":",Errorlog_table[[#This Row],[Description]])+1,6)))&gt;1,MID(Errorlog_table[[#This Row],[Description]],FIND(":",Errorlog_table[[#This Row],[Description]])+1,6),"")</f>
        <v>106384</v>
      </c>
      <c r="K37" s="280">
        <v>0.91666700000000001</v>
      </c>
      <c r="L37" s="277" t="s">
        <v>234</v>
      </c>
      <c r="M37" s="277">
        <v>53006997</v>
      </c>
      <c r="N37" s="292" t="s">
        <v>301</v>
      </c>
      <c r="O37" s="281" t="str">
        <f t="shared" si="2"/>
        <v>P825866</v>
      </c>
      <c r="P37" s="277">
        <f>LEN(Errorlog_table[[#This Row],[AIR]])</f>
        <v>7</v>
      </c>
      <c r="Q37" t="str" cm="1">
        <f t="array" ref="Q37">IF(OR(Errorlog_table[[#This Row],[AIR]]="n/a",Errorlog_table[[#This Row],[Event_code]]="Y"),"n/a",IF(Errorlog_table[[#This Row],[AIR]]="","no AIR",_xlfn.XLOOKUP(Errorlog_table[[#This Row],[AIR]],AIR_dump[[#All],[Number]],AIR_dump[[#All],[Type]],"not found",0,1)))</f>
        <v>BD</v>
      </c>
      <c r="R37" s="282" t="str">
        <f>Errorlog_table[[#This Row],[Description]]</f>
        <v>EpmID:106384| DL - Lot Abort - IS Intermittent DO Error | LAA-010B |</v>
      </c>
      <c r="S37" s="347" t="str" cm="1">
        <f t="array" ref="S37">_xlfn.XLOOKUP(Errorlog_table[[#This Row],[AIR]],AIR_dump[[#All],[Number]],AIR_dump[[#All],[Close notes]])</f>
        <v xml:space="preserve">[intake 2442]
Wk42: New issue, intake ongoing
wk42.3 Investigation ongoing, expected feedback by Trumpf wk42.4 
wk43.3: RC understood. SW Patch currently only for EZ60 as containment. Need to still find a solution direction
wk44.3: Hardware as root cause </v>
      </c>
      <c r="T37" s="372">
        <f>Errorlog_table[[#This Row],[Year_Week_Number]]</f>
        <v>202502</v>
      </c>
      <c r="U37" s="284" t="s">
        <v>239</v>
      </c>
      <c r="V37" s="284" t="s">
        <v>230</v>
      </c>
      <c r="W37" s="285" t="str">
        <f>Errorlog_table[[#This Row],[System]]</f>
        <v>GY86</v>
      </c>
      <c r="X37" s="366" t="str">
        <f>Errorlog_table[[#This Row],[link]]</f>
        <v>P825866</v>
      </c>
      <c r="Y37" s="277" t="str">
        <f>Errorlog_table[[#This Row],[Root_Error]]</f>
        <v>LAA-010B</v>
      </c>
      <c r="Z37" s="277" t="str">
        <f>Errorlog_table[[#This Row],[Description]]</f>
        <v>EpmID:106384| DL - Lot Abort - IS Intermittent DO Error | LAA-010B |</v>
      </c>
      <c r="AA37" s="277" t="str">
        <f t="shared" si="1"/>
        <v>Short down</v>
      </c>
      <c r="AB37" s="278">
        <f ca="1">_xlfn.ISOWEEKNUM(Errorlog_table[[#This Row],[Date]])+52*(Errorlog_table[[#This Row],[Year]]-YEAR(DATE(YEAR(TODAY()-WEEKDAY(TODAY()-1)+4),1,1)-MOD((DATE(YEAR(TODAY()-WEEKDAY(TODAY()-1)+4),1,1)-2),7)+(7*IF(MOD((DATE(YEAR(TODAY()-WEEKDAY(TODAY()-1)+4),1,1)-2),7)&gt;3,1,0))+7) )-_xlfn.ISOWEEKNUM(NOW())</f>
        <v>-35</v>
      </c>
      <c r="AC37" s="277"/>
      <c r="AD37" s="295" t="str">
        <f>TEXT(Errorlog_table[[#This Row],[Date]],"yyyy-mm-dd")&amp;"_"&amp;TEXT(Errorlog_table[[#This Row],[SDT_Timestamp]],"HH:MM:SS")&amp;"_"&amp;Errorlog_table[[#This Row],[System]]</f>
        <v>2025-01-11_18:22:00_GY86</v>
      </c>
      <c r="AE37" s="287" t="str">
        <f>Errorlog_table[[#This Row],[P_Hits]]</f>
        <v>N</v>
      </c>
      <c r="AF37" s="287">
        <v>0</v>
      </c>
    </row>
    <row r="38" spans="1:32" ht="43.5" customHeight="1">
      <c r="A38" s="287" t="s">
        <v>7</v>
      </c>
      <c r="B38" s="277" t="str">
        <f>VLOOKUP(A38,'5000_Fleet'!A:D,2,FALSE)</f>
        <v>Intel</v>
      </c>
      <c r="C38" s="289" t="s">
        <v>331</v>
      </c>
      <c r="D38" s="289">
        <f>YEAR(DATE(YEAR(Errorlog_table[[#This Row],[Date]]-WEEKDAY(Errorlog_table[[#This Row],[Date]]-1)+4),1,1)-MOD((DATE(YEAR(Errorlog_table[[#This Row],[Date]]-WEEKDAY(Errorlog_table[[#This Row],[Date]]-1)+4),1,1)-2),7)+(7*IF(MOD((DATE(YEAR(Errorlog_table[[#This Row],[Date]]-WEEKDAY(Errorlog_table[[#This Row],[Date]]-1)+4),1,1)-2),7)&gt;3,1,0))+7)</f>
        <v>2025</v>
      </c>
      <c r="E38" s="278">
        <f>VALUE(TEXT(_xlfn.ISOWEEKNUM(Errorlog_table[[#This Row],[Date]]),"00"))</f>
        <v>2</v>
      </c>
      <c r="F38" s="410">
        <f>VALUE((Errorlog_table[[#This Row],[Year]])&amp;TEXT(Errorlog_table[[#This Row],[Week_Number]],"00"))</f>
        <v>202502</v>
      </c>
      <c r="G38" s="370">
        <v>45668</v>
      </c>
      <c r="H38" s="374" t="s">
        <v>332</v>
      </c>
      <c r="I38" s="289" t="s">
        <v>333</v>
      </c>
      <c r="J38" s="289" t="str">
        <f>IF(LEN(VALUE(MID(Errorlog_table[[#This Row],[Description]],FIND(":",Errorlog_table[[#This Row],[Description]])+1,6)))&gt;1,MID(Errorlog_table[[#This Row],[Description]],FIND(":",Errorlog_table[[#This Row],[Description]])+1,6),"")</f>
        <v>106382</v>
      </c>
      <c r="K38" s="296">
        <v>0.31666699999999998</v>
      </c>
      <c r="L38" s="287" t="s">
        <v>92</v>
      </c>
      <c r="M38" s="277">
        <v>53018449</v>
      </c>
      <c r="N38" s="277" t="s">
        <v>334</v>
      </c>
      <c r="O38" s="281" t="str">
        <f t="shared" si="2"/>
        <v>TiN Refill</v>
      </c>
      <c r="P38" s="277">
        <f>LEN(Errorlog_table[[#This Row],[AIR]])</f>
        <v>10</v>
      </c>
      <c r="Q38" t="str" cm="1">
        <f t="array" ref="Q38">IF(OR(Errorlog_table[[#This Row],[AIR]]="n/a",Errorlog_table[[#This Row],[Event_code]]="Y"),"n/a",IF(Errorlog_table[[#This Row],[AIR]]="","no AIR",_xlfn.XLOOKUP(Errorlog_table[[#This Row],[AIR]],AIR_dump[[#All],[Number]],AIR_dump[[#All],[Type]],"not found",0,1)))</f>
        <v>not found</v>
      </c>
      <c r="R38" s="282" t="str">
        <f>Errorlog_table[[#This Row],[Description]]</f>
        <v>EpmID:106382| SRC- HWO |  | Tin refill reload</v>
      </c>
      <c r="S38" s="347" t="e" cm="1">
        <f t="array" ref="S38">_xlfn.XLOOKUP(Errorlog_table[[#This Row],[AIR]],AIR_dump[[#All],[Number]],AIR_dump[[#All],[Close notes]])</f>
        <v>#N/A</v>
      </c>
      <c r="T38" s="372">
        <f>Errorlog_table[[#This Row],[Year_Week_Number]]</f>
        <v>202502</v>
      </c>
      <c r="U38" s="284" t="s">
        <v>239</v>
      </c>
      <c r="V38" s="284" t="s">
        <v>230</v>
      </c>
      <c r="W38" s="285" t="str">
        <f>Errorlog_table[[#This Row],[System]]</f>
        <v>GY86</v>
      </c>
      <c r="X38" s="366" t="str">
        <f>Errorlog_table[[#This Row],[link]]</f>
        <v>TiN Refill</v>
      </c>
      <c r="Y38" s="277" t="str">
        <f>Errorlog_table[[#This Row],[Root_Error]]</f>
        <v>TinRefill</v>
      </c>
      <c r="Z38" s="277" t="str">
        <f>Errorlog_table[[#This Row],[Description]]</f>
        <v>EpmID:106382| SRC- HWO |  | Tin refill reload</v>
      </c>
      <c r="AA38" s="277" t="str">
        <f t="shared" si="1"/>
        <v>Short down</v>
      </c>
      <c r="AB38" s="278">
        <f ca="1">_xlfn.ISOWEEKNUM(Errorlog_table[[#This Row],[Date]])+52*(Errorlog_table[[#This Row],[Year]]-YEAR(DATE(YEAR(TODAY()-WEEKDAY(TODAY()-1)+4),1,1)-MOD((DATE(YEAR(TODAY()-WEEKDAY(TODAY()-1)+4),1,1)-2),7)+(7*IF(MOD((DATE(YEAR(TODAY()-WEEKDAY(TODAY()-1)+4),1,1)-2),7)&gt;3,1,0))+7) )-_xlfn.ISOWEEKNUM(NOW())</f>
        <v>-35</v>
      </c>
      <c r="AC38" s="277"/>
      <c r="AD38" s="295" t="str">
        <f>TEXT(Errorlog_table[[#This Row],[Date]],"yyyy-mm-dd")&amp;"_"&amp;TEXT(Errorlog_table[[#This Row],[SDT_Timestamp]],"HH:MM:SS")&amp;"_"&amp;Errorlog_table[[#This Row],[System]]</f>
        <v>2025-01-11_01:48:00_GY86</v>
      </c>
      <c r="AE38" s="287" t="str">
        <f>Errorlog_table[[#This Row],[P_Hits]]</f>
        <v>N</v>
      </c>
      <c r="AF38" s="287">
        <v>0</v>
      </c>
    </row>
    <row r="39" spans="1:32" ht="15">
      <c r="A39" s="289" t="s">
        <v>7</v>
      </c>
      <c r="B39" s="277" t="str">
        <f>VLOOKUP(A39,'5000_Fleet'!A:D,2,FALSE)</f>
        <v>Intel</v>
      </c>
      <c r="C39" s="335" t="s">
        <v>280</v>
      </c>
      <c r="D39" s="335">
        <f>YEAR(DATE(YEAR(Errorlog_table[[#This Row],[Date]]-WEEKDAY(Errorlog_table[[#This Row],[Date]]-1)+4),1,1)-MOD((DATE(YEAR(Errorlog_table[[#This Row],[Date]]-WEEKDAY(Errorlog_table[[#This Row],[Date]]-1)+4),1,1)-2),7)+(7*IF(MOD((DATE(YEAR(Errorlog_table[[#This Row],[Date]]-WEEKDAY(Errorlog_table[[#This Row],[Date]]-1)+4),1,1)-2),7)&gt;3,1,0))+7)</f>
        <v>2025</v>
      </c>
      <c r="E39" s="278">
        <f>VALUE(TEXT(_xlfn.ISOWEEKNUM(Errorlog_table[[#This Row],[Date]]),"00"))</f>
        <v>3</v>
      </c>
      <c r="F39" s="410">
        <f>VALUE((Errorlog_table[[#This Row],[Year]])&amp;TEXT(Errorlog_table[[#This Row],[Week_Number]],"00"))</f>
        <v>202503</v>
      </c>
      <c r="G39" s="370">
        <v>45670</v>
      </c>
      <c r="H39" s="375" t="s">
        <v>335</v>
      </c>
      <c r="I39" s="376" t="s">
        <v>336</v>
      </c>
      <c r="J39" s="376" t="str">
        <f>IF(LEN(VALUE(MID(Errorlog_table[[#This Row],[Description]],FIND(":",Errorlog_table[[#This Row],[Description]])+1,6)))&gt;1,MID(Errorlog_table[[#This Row],[Description]],FIND(":",Errorlog_table[[#This Row],[Description]])+1,6),"")</f>
        <v>106509</v>
      </c>
      <c r="K39" s="297">
        <v>1.316667</v>
      </c>
      <c r="L39" s="277" t="s">
        <v>114</v>
      </c>
      <c r="M39" s="277">
        <v>53016336</v>
      </c>
      <c r="N39" s="277" t="s">
        <v>271</v>
      </c>
      <c r="O39" s="281" t="str">
        <f t="shared" si="2"/>
        <v>P853275</v>
      </c>
      <c r="P39" s="277">
        <f>LEN(Errorlog_table[[#This Row],[AIR]])</f>
        <v>7</v>
      </c>
      <c r="Q39" cm="1">
        <f t="array" ref="Q39">IF(OR(Errorlog_table[[#This Row],[AIR]]="n/a",Errorlog_table[[#This Row],[Event_code]]="Y"),"n/a",IF(Errorlog_table[[#This Row],[AIR]]="","no AIR",_xlfn.XLOOKUP(Errorlog_table[[#This Row],[AIR]],AIR_dump[[#All],[Number]],AIR_dump[[#All],[Type]],"not found",0,1)))</f>
        <v>0</v>
      </c>
      <c r="R39" s="279" t="s">
        <v>337</v>
      </c>
      <c r="S39" s="347" t="str" cm="1">
        <f t="array" ref="S39">_xlfn.XLOOKUP(Errorlog_table[[#This Row],[AIR]],AIR_dump[[#All],[Number]],AIR_dump[[#All],[Close notes]])</f>
        <v>Firmware delivered W19 (COB swap done)</v>
      </c>
      <c r="T39" s="372">
        <f>Errorlog_table[[#This Row],[Year_Week_Number]]</f>
        <v>202503</v>
      </c>
      <c r="U39" s="284" t="s">
        <v>239</v>
      </c>
      <c r="V39" s="284" t="s">
        <v>230</v>
      </c>
      <c r="W39" s="285" t="str">
        <f>Errorlog_table[[#This Row],[System]]</f>
        <v>GY86</v>
      </c>
      <c r="X39" s="366" t="str">
        <f>Errorlog_table[[#This Row],[link]]</f>
        <v>P853275</v>
      </c>
      <c r="Y39" s="277" t="str">
        <f>Errorlog_table[[#This Row],[Root_Error]]</f>
        <v>ZF-4392</v>
      </c>
      <c r="Z39" s="277" t="str">
        <f>Errorlog_table[[#This Row],[Description]]</f>
        <v>EpmID:106509| SCN - Lot abort for ZF-4392 HSSL Timeout | ZF-4392 |</v>
      </c>
      <c r="AA39" s="277" t="str">
        <f t="shared" si="1"/>
        <v>Short down</v>
      </c>
      <c r="AB39" s="278">
        <f ca="1">_xlfn.ISOWEEKNUM(Errorlog_table[[#This Row],[Date]])+52*(Errorlog_table[[#This Row],[Year]]-YEAR(DATE(YEAR(TODAY()-WEEKDAY(TODAY()-1)+4),1,1)-MOD((DATE(YEAR(TODAY()-WEEKDAY(TODAY()-1)+4),1,1)-2),7)+(7*IF(MOD((DATE(YEAR(TODAY()-WEEKDAY(TODAY()-1)+4),1,1)-2),7)&gt;3,1,0))+7) )-_xlfn.ISOWEEKNUM(NOW())</f>
        <v>-34</v>
      </c>
      <c r="AC39" s="277"/>
      <c r="AD39" s="295" t="str">
        <f>TEXT(Errorlog_table[[#This Row],[Date]],"yyyy-mm-dd")&amp;"_"&amp;TEXT(Errorlog_table[[#This Row],[SDT_Timestamp]],"HH:MM:SS")&amp;"_"&amp;Errorlog_table[[#This Row],[System]]</f>
        <v>2025-01-13_23:16:00_GY86</v>
      </c>
      <c r="AE39" s="287" t="str">
        <f>Errorlog_table[[#This Row],[P_Hits]]</f>
        <v>N</v>
      </c>
      <c r="AF39" s="287">
        <v>0</v>
      </c>
    </row>
    <row r="40" spans="1:32" s="377" customFormat="1" ht="24" customHeight="1">
      <c r="A40" s="289" t="s">
        <v>4</v>
      </c>
      <c r="B40" s="277" t="str">
        <f>VLOOKUP(A40,'5000_Fleet'!A:D,2,FALSE)</f>
        <v>Intel</v>
      </c>
      <c r="C40" s="277" t="s">
        <v>338</v>
      </c>
      <c r="D40" s="277">
        <f>YEAR(DATE(YEAR(Errorlog_table[[#This Row],[Date]]-WEEKDAY(Errorlog_table[[#This Row],[Date]]-1)+4),1,1)-MOD((DATE(YEAR(Errorlog_table[[#This Row],[Date]]-WEEKDAY(Errorlog_table[[#This Row],[Date]]-1)+4),1,1)-2),7)+(7*IF(MOD((DATE(YEAR(Errorlog_table[[#This Row],[Date]]-WEEKDAY(Errorlog_table[[#This Row],[Date]]-1)+4),1,1)-2),7)&gt;3,1,0))+7)</f>
        <v>2025</v>
      </c>
      <c r="E40" s="278">
        <f>VALUE(TEXT(_xlfn.ISOWEEKNUM(Errorlog_table[[#This Row],[Date]]),"00"))</f>
        <v>3</v>
      </c>
      <c r="F40" s="410">
        <f>VALUE((Errorlog_table[[#This Row],[Year]])&amp;TEXT(Errorlog_table[[#This Row],[Week_Number]],"00"))</f>
        <v>202503</v>
      </c>
      <c r="G40" s="370">
        <v>45676</v>
      </c>
      <c r="H40" s="375" t="s">
        <v>339</v>
      </c>
      <c r="I40" s="376" t="s">
        <v>340</v>
      </c>
      <c r="J40" s="376" t="str">
        <f>IF(LEN(VALUE(MID(Errorlog_table[[#This Row],[Description]],FIND(":",Errorlog_table[[#This Row],[Description]])+1,6)))&gt;1,MID(Errorlog_table[[#This Row],[Description]],FIND(":",Errorlog_table[[#This Row],[Description]])+1,6),"")</f>
        <v>107162</v>
      </c>
      <c r="K40" s="298">
        <v>6.0666669999999998</v>
      </c>
      <c r="L40" s="277" t="s">
        <v>92</v>
      </c>
      <c r="M40" s="277">
        <v>53035983</v>
      </c>
      <c r="N40" s="277" t="s">
        <v>341</v>
      </c>
      <c r="O40" s="281" t="str">
        <f t="shared" si="2"/>
        <v>DefectD</v>
      </c>
      <c r="P40" s="277">
        <f>LEN(Errorlog_table[[#This Row],[AIR]])</f>
        <v>7</v>
      </c>
      <c r="Q40" t="str" cm="1">
        <f t="array" ref="Q40">IF(OR(Errorlog_table[[#This Row],[AIR]]="n/a",Errorlog_table[[#This Row],[Event_code]]="Y"),"n/a",IF(Errorlog_table[[#This Row],[AIR]]="","no AIR",_xlfn.XLOOKUP(Errorlog_table[[#This Row],[AIR]],AIR_dump[[#All],[Number]],AIR_dump[[#All],[Type]],"not found",0,1)))</f>
        <v>not found</v>
      </c>
      <c r="R40" s="282"/>
      <c r="S40" s="347" t="e" cm="1">
        <f t="array" ref="S40">_xlfn.XLOOKUP(Errorlog_table[[#This Row],[AIR]],AIR_dump[[#All],[Number]],AIR_dump[[#All],[Close notes]])</f>
        <v>#N/A</v>
      </c>
      <c r="T40" s="372">
        <f>Errorlog_table[[#This Row],[Year_Week_Number]]</f>
        <v>202503</v>
      </c>
      <c r="U40" s="284" t="s">
        <v>239</v>
      </c>
      <c r="V40" s="284" t="s">
        <v>230</v>
      </c>
      <c r="W40" s="285" t="str">
        <f>Errorlog_table[[#This Row],[System]]</f>
        <v>CR51</v>
      </c>
      <c r="X40" s="366" t="str">
        <f>Errorlog_table[[#This Row],[link]]</f>
        <v>DefectD</v>
      </c>
      <c r="Y40" s="277" t="str">
        <f>Errorlog_table[[#This Row],[Root_Error]]</f>
        <v>RU-0D31</v>
      </c>
      <c r="Z40" s="277" t="str">
        <f>Errorlog_table[[#This Row],[Description]]</f>
        <v>EpmID:107162| SCN - RS Stamping |  | Scanner Repairs</v>
      </c>
      <c r="AA40" s="277" t="str">
        <f t="shared" si="1"/>
        <v>Short down</v>
      </c>
      <c r="AB40" s="278">
        <f ca="1">_xlfn.ISOWEEKNUM(Errorlog_table[[#This Row],[Date]])+52*(Errorlog_table[[#This Row],[Year]]-YEAR(DATE(YEAR(TODAY()-WEEKDAY(TODAY()-1)+4),1,1)-MOD((DATE(YEAR(TODAY()-WEEKDAY(TODAY()-1)+4),1,1)-2),7)+(7*IF(MOD((DATE(YEAR(TODAY()-WEEKDAY(TODAY()-1)+4),1,1)-2),7)&gt;3,1,0))+7) )-_xlfn.ISOWEEKNUM(NOW())</f>
        <v>-34</v>
      </c>
      <c r="AC40" s="277"/>
      <c r="AD40" s="295" t="str">
        <f>TEXT(Errorlog_table[[#This Row],[Date]],"yyyy-mm-dd")&amp;"_"&amp;TEXT(Errorlog_table[[#This Row],[SDT_Timestamp]],"HH:MM:SS")&amp;"_"&amp;Errorlog_table[[#This Row],[System]]</f>
        <v>2025-01-19_17:56:00_CR51</v>
      </c>
      <c r="AE40" s="303" t="str">
        <f>Errorlog_table[[#This Row],[P_Hits]]</f>
        <v>N</v>
      </c>
      <c r="AF40" s="287">
        <v>0</v>
      </c>
    </row>
    <row r="41" spans="1:32" ht="14.85" customHeight="1">
      <c r="A41" s="378" t="s">
        <v>4</v>
      </c>
      <c r="B41" s="299" t="str">
        <f>VLOOKUP(A41,'5000_Fleet'!A:D,2,FALSE)</f>
        <v>Intel</v>
      </c>
      <c r="C41" s="299" t="s">
        <v>342</v>
      </c>
      <c r="D41" s="299">
        <f>YEAR(DATE(YEAR(Errorlog_table[[#This Row],[Date]]-WEEKDAY(Errorlog_table[[#This Row],[Date]]-1)+4),1,1)-MOD((DATE(YEAR(Errorlog_table[[#This Row],[Date]]-WEEKDAY(Errorlog_table[[#This Row],[Date]]-1)+4),1,1)-2),7)+(7*IF(MOD((DATE(YEAR(Errorlog_table[[#This Row],[Date]]-WEEKDAY(Errorlog_table[[#This Row],[Date]]-1)+4),1,1)-2),7)&gt;3,1,0))+7)</f>
        <v>2025</v>
      </c>
      <c r="E41" s="278">
        <f>VALUE(TEXT(_xlfn.ISOWEEKNUM(Errorlog_table[[#This Row],[Date]]),"00"))</f>
        <v>4</v>
      </c>
      <c r="F41" s="410">
        <f>VALUE((Errorlog_table[[#This Row],[Year]])&amp;TEXT(Errorlog_table[[#This Row],[Week_Number]],"00"))</f>
        <v>202504</v>
      </c>
      <c r="G41" s="370">
        <v>45677</v>
      </c>
      <c r="H41" s="379" t="s">
        <v>343</v>
      </c>
      <c r="I41" s="378" t="s">
        <v>344</v>
      </c>
      <c r="J41" s="378" t="str">
        <f>IF(LEN(VALUE(MID(Errorlog_table[[#This Row],[Description]],FIND(":",Errorlog_table[[#This Row],[Description]])+1,6)))&gt;1,MID(Errorlog_table[[#This Row],[Description]],FIND(":",Errorlog_table[[#This Row],[Description]])+1,6),"")</f>
        <v>107146</v>
      </c>
      <c r="K41" s="300">
        <v>0.83333299999999999</v>
      </c>
      <c r="L41" s="299" t="s">
        <v>345</v>
      </c>
      <c r="M41" s="299">
        <v>53036577</v>
      </c>
      <c r="N41" s="299" t="s">
        <v>346</v>
      </c>
      <c r="O41" s="281" t="str">
        <f t="shared" si="2"/>
        <v>P844961</v>
      </c>
      <c r="P41" s="277">
        <f>LEN(Errorlog_table[[#This Row],[AIR]])</f>
        <v>7</v>
      </c>
      <c r="Q41" cm="1">
        <f t="array" ref="Q41">IF(OR(Errorlog_table[[#This Row],[AIR]]="n/a",Errorlog_table[[#This Row],[Event_code]]="Y"),"n/a",IF(Errorlog_table[[#This Row],[AIR]]="","no AIR",_xlfn.XLOOKUP(Errorlog_table[[#This Row],[AIR]],AIR_dump[[#All],[Number]],AIR_dump[[#All],[Type]],"not found",0,1)))</f>
        <v>0</v>
      </c>
      <c r="R41" s="302" t="s">
        <v>347</v>
      </c>
      <c r="S41" s="347" t="str" cm="1">
        <f t="array" ref="S41">_xlfn.XLOOKUP(Errorlog_table[[#This Row],[AIR]],AIR_dump[[#All],[Number]],AIR_dump[[#All],[Close notes]])</f>
        <v>closed</v>
      </c>
      <c r="T41" s="372">
        <f>Errorlog_table[[#This Row],[Year_Week_Number]]</f>
        <v>202504</v>
      </c>
      <c r="U41" s="284" t="s">
        <v>239</v>
      </c>
      <c r="V41" s="284" t="s">
        <v>230</v>
      </c>
      <c r="W41" s="285" t="str">
        <f>Errorlog_table[[#This Row],[System]]</f>
        <v>CR51</v>
      </c>
      <c r="X41" s="380" t="str">
        <f>Errorlog_table[[#This Row],[link]]</f>
        <v>P844961</v>
      </c>
      <c r="Y41" s="277" t="str">
        <f>Errorlog_table[[#This Row],[Root_Error]]</f>
        <v>KN-0605</v>
      </c>
      <c r="Z41" s="299" t="str">
        <f>Errorlog_table[[#This Row],[Description]]</f>
        <v>EpmID:107146| SCN - KGHDMIS task died |  |</v>
      </c>
      <c r="AA41" s="277" t="str">
        <f t="shared" si="1"/>
        <v>Short down</v>
      </c>
      <c r="AB41" s="278">
        <f ca="1">_xlfn.ISOWEEKNUM(Errorlog_table[[#This Row],[Date]])+52*(Errorlog_table[[#This Row],[Year]]-YEAR(DATE(YEAR(TODAY()-WEEKDAY(TODAY()-1)+4),1,1)-MOD((DATE(YEAR(TODAY()-WEEKDAY(TODAY()-1)+4),1,1)-2),7)+(7*IF(MOD((DATE(YEAR(TODAY()-WEEKDAY(TODAY()-1)+4),1,1)-2),7)&gt;3,1,0))+7) )-_xlfn.ISOWEEKNUM(NOW())</f>
        <v>-33</v>
      </c>
      <c r="AC41" s="299"/>
      <c r="AD41" s="304" t="str">
        <f>TEXT(Errorlog_table[[#This Row],[Date]],"yyyy-mm-dd")&amp;"_"&amp;TEXT(Errorlog_table[[#This Row],[SDT_Timestamp]],"HH:MM:SS")&amp;"_"&amp;Errorlog_table[[#This Row],[System]]</f>
        <v>2025-01-20_00:45:00_CR51</v>
      </c>
      <c r="AE41" s="287" t="str">
        <f>Errorlog_table[[#This Row],[P_Hits]]</f>
        <v>N</v>
      </c>
      <c r="AF41" s="287">
        <v>0</v>
      </c>
    </row>
    <row r="42" spans="1:32" ht="14.85" customHeight="1">
      <c r="A42" s="376" t="s">
        <v>4</v>
      </c>
      <c r="B42" s="277" t="str">
        <f>VLOOKUP(A42,'5000_Fleet'!A:D,2,FALSE)</f>
        <v>Intel</v>
      </c>
      <c r="C42" s="277" t="s">
        <v>338</v>
      </c>
      <c r="D42" s="277">
        <f>YEAR(DATE(YEAR(Errorlog_table[[#This Row],[Date]]-WEEKDAY(Errorlog_table[[#This Row],[Date]]-1)+4),1,1)-MOD((DATE(YEAR(Errorlog_table[[#This Row],[Date]]-WEEKDAY(Errorlog_table[[#This Row],[Date]]-1)+4),1,1)-2),7)+(7*IF(MOD((DATE(YEAR(Errorlog_table[[#This Row],[Date]]-WEEKDAY(Errorlog_table[[#This Row],[Date]]-1)+4),1,1)-2),7)&gt;3,1,0))+7)</f>
        <v>2025</v>
      </c>
      <c r="E42" s="278">
        <f>VALUE(TEXT(_xlfn.ISOWEEKNUM(Errorlog_table[[#This Row],[Date]]),"00"))</f>
        <v>4</v>
      </c>
      <c r="F42" s="410">
        <f>VALUE((Errorlog_table[[#This Row],[Year]])&amp;TEXT(Errorlog_table[[#This Row],[Week_Number]],"00"))</f>
        <v>202504</v>
      </c>
      <c r="G42" s="370">
        <v>45677</v>
      </c>
      <c r="H42" s="381" t="s">
        <v>348</v>
      </c>
      <c r="I42" s="376" t="s">
        <v>349</v>
      </c>
      <c r="J42" s="376" t="str">
        <f>IF(LEN(VALUE(MID(Errorlog_table[[#This Row],[Description]],FIND(":",Errorlog_table[[#This Row],[Description]])+1,6)))&gt;1,MID(Errorlog_table[[#This Row],[Description]],FIND(":",Errorlog_table[[#This Row],[Description]])+1,6),"")</f>
        <v>107163</v>
      </c>
      <c r="K42" s="280">
        <v>3.5</v>
      </c>
      <c r="L42" s="287" t="s">
        <v>92</v>
      </c>
      <c r="M42" s="277">
        <v>53035983</v>
      </c>
      <c r="N42" s="277"/>
      <c r="O42" s="281">
        <f t="shared" si="2"/>
        <v>53035983</v>
      </c>
      <c r="P42" s="277">
        <f>LEN(Errorlog_table[[#This Row],[AIR]])</f>
        <v>0</v>
      </c>
      <c r="Q42" t="str" cm="1">
        <f t="array" ref="Q42">IF(OR(Errorlog_table[[#This Row],[AIR]]="n/a",Errorlog_table[[#This Row],[Event_code]]="Y"),"n/a",IF(Errorlog_table[[#This Row],[AIR]]="","no AIR",_xlfn.XLOOKUP(Errorlog_table[[#This Row],[AIR]],AIR_dump[[#All],[Number]],AIR_dump[[#All],[Type]],"not found",0,1)))</f>
        <v>no AIR</v>
      </c>
      <c r="R42" s="282"/>
      <c r="S42" s="347" cm="1">
        <f t="array" ref="S42">_xlfn.XLOOKUP(Errorlog_table[[#This Row],[AIR]],AIR_dump[[#All],[Number]],AIR_dump[[#All],[Close notes]])</f>
        <v>0</v>
      </c>
      <c r="T42" s="372">
        <f>Errorlog_table[[#This Row],[Year_Week_Number]]</f>
        <v>202504</v>
      </c>
      <c r="U42" s="284" t="s">
        <v>239</v>
      </c>
      <c r="V42" s="284" t="s">
        <v>230</v>
      </c>
      <c r="W42" s="285" t="str">
        <f>Errorlog_table[[#This Row],[System]]</f>
        <v>CR51</v>
      </c>
      <c r="X42" s="366">
        <f>Errorlog_table[[#This Row],[link]]</f>
        <v>53035983</v>
      </c>
      <c r="Y42" s="277" t="str">
        <f>Errorlog_table[[#This Row],[Root_Error]]</f>
        <v>RU-0D31</v>
      </c>
      <c r="Z42" s="277" t="str">
        <f>Errorlog_table[[#This Row],[Description]]</f>
        <v>EpmID:107163| SCN - RS Stamping |  | Scanner Repairs</v>
      </c>
      <c r="AA42" s="277" t="str">
        <f t="shared" si="1"/>
        <v>Short down</v>
      </c>
      <c r="AB42" s="278">
        <f ca="1">_xlfn.ISOWEEKNUM(Errorlog_table[[#This Row],[Date]])+52*(Errorlog_table[[#This Row],[Year]]-YEAR(DATE(YEAR(TODAY()-WEEKDAY(TODAY()-1)+4),1,1)-MOD((DATE(YEAR(TODAY()-WEEKDAY(TODAY()-1)+4),1,1)-2),7)+(7*IF(MOD((DATE(YEAR(TODAY()-WEEKDAY(TODAY()-1)+4),1,1)-2),7)&gt;3,1,0))+7) )-_xlfn.ISOWEEKNUM(NOW())</f>
        <v>-33</v>
      </c>
      <c r="AC42" s="277"/>
      <c r="AD42" s="295" t="str">
        <f>TEXT(Errorlog_table[[#This Row],[Date]],"yyyy-mm-dd")&amp;"_"&amp;TEXT(Errorlog_table[[#This Row],[SDT_Timestamp]],"HH:MM:SS")&amp;"_"&amp;Errorlog_table[[#This Row],[System]]</f>
        <v>2025-01-20_14:35:00_CR51</v>
      </c>
      <c r="AE42" s="287" t="str">
        <f>Errorlog_table[[#This Row],[P_Hits]]</f>
        <v>N</v>
      </c>
      <c r="AF42" s="287">
        <v>0</v>
      </c>
    </row>
    <row r="43" spans="1:32" ht="14.85" customHeight="1">
      <c r="A43" s="376" t="s">
        <v>7</v>
      </c>
      <c r="B43" s="277" t="str">
        <f>VLOOKUP(A43,'5000_Fleet'!A:D,2,FALSE)</f>
        <v>Intel</v>
      </c>
      <c r="C43" s="277" t="s">
        <v>350</v>
      </c>
      <c r="D43" s="277">
        <f>YEAR(DATE(YEAR(Errorlog_table[[#This Row],[Date]]-WEEKDAY(Errorlog_table[[#This Row],[Date]]-1)+4),1,1)-MOD((DATE(YEAR(Errorlog_table[[#This Row],[Date]]-WEEKDAY(Errorlog_table[[#This Row],[Date]]-1)+4),1,1)-2),7)+(7*IF(MOD((DATE(YEAR(Errorlog_table[[#This Row],[Date]]-WEEKDAY(Errorlog_table[[#This Row],[Date]]-1)+4),1,1)-2),7)&gt;3,1,0))+7)</f>
        <v>2025</v>
      </c>
      <c r="E43" s="278">
        <f>VALUE(TEXT(_xlfn.ISOWEEKNUM(Errorlog_table[[#This Row],[Date]]),"00"))</f>
        <v>4</v>
      </c>
      <c r="F43" s="410">
        <f>VALUE((Errorlog_table[[#This Row],[Year]])&amp;TEXT(Errorlog_table[[#This Row],[Week_Number]],"00"))</f>
        <v>202504</v>
      </c>
      <c r="G43" s="370">
        <v>45677</v>
      </c>
      <c r="H43" s="381" t="s">
        <v>227</v>
      </c>
      <c r="I43" s="376" t="s">
        <v>351</v>
      </c>
      <c r="J43" s="376" t="str">
        <f>IF(LEN(VALUE(MID(Errorlog_table[[#This Row],[Description]],FIND(":",Errorlog_table[[#This Row],[Description]])+1,6)))&gt;1,MID(Errorlog_table[[#This Row],[Description]],FIND(":",Errorlog_table[[#This Row],[Description]])+1,6),"")</f>
        <v>107207</v>
      </c>
      <c r="K43" s="280">
        <v>1.2</v>
      </c>
      <c r="L43" s="376" t="s">
        <v>127</v>
      </c>
      <c r="M43" s="277">
        <v>53036923</v>
      </c>
      <c r="N43" s="277" t="s">
        <v>352</v>
      </c>
      <c r="O43" s="281" t="str">
        <f t="shared" si="2"/>
        <v>P850771</v>
      </c>
      <c r="P43" s="277">
        <f>LEN(Errorlog_table[[#This Row],[AIR]])</f>
        <v>7</v>
      </c>
      <c r="Q43" cm="1">
        <f t="array" ref="Q43">IF(OR(Errorlog_table[[#This Row],[AIR]]="n/a",Errorlog_table[[#This Row],[Event_code]]="Y"),"n/a",IF(Errorlog_table[[#This Row],[AIR]]="","no AIR",_xlfn.XLOOKUP(Errorlog_table[[#This Row],[AIR]],AIR_dump[[#All],[Number]],AIR_dump[[#All],[Type]],"not found",0,1)))</f>
        <v>0</v>
      </c>
      <c r="R43" s="282" t="s">
        <v>353</v>
      </c>
      <c r="S43" s="347" t="str" cm="1">
        <f t="array" ref="S43">_xlfn.XLOOKUP(Errorlog_table[[#This Row],[AIR]],AIR_dump[[#All],[Number]],AIR_dump[[#All],[Close notes]])</f>
        <v>open</v>
      </c>
      <c r="T43" s="372">
        <f>Errorlog_table[[#This Row],[Year_Week_Number]]</f>
        <v>202504</v>
      </c>
      <c r="U43" s="284" t="s">
        <v>239</v>
      </c>
      <c r="V43" s="284" t="s">
        <v>230</v>
      </c>
      <c r="W43" s="285" t="str">
        <f>Errorlog_table[[#This Row],[System]]</f>
        <v>GY86</v>
      </c>
      <c r="X43" s="366" t="str">
        <f>Errorlog_table[[#This Row],[link]]</f>
        <v>P850771</v>
      </c>
      <c r="Y43" s="277" t="str">
        <f>Errorlog_table[[#This Row],[Root_Error]]</f>
        <v>OO-000B</v>
      </c>
      <c r="Z43" s="277" t="str">
        <f>Errorlog_table[[#This Row],[Description]]</f>
        <v>EpmID:107207| SCN - WXRO lost connection lot abort | OO-000B |</v>
      </c>
      <c r="AA43" s="277" t="str">
        <f t="shared" si="1"/>
        <v>Short down</v>
      </c>
      <c r="AB43" s="278">
        <f ca="1">_xlfn.ISOWEEKNUM(Errorlog_table[[#This Row],[Date]])+52*(Errorlog_table[[#This Row],[Year]]-YEAR(DATE(YEAR(TODAY()-WEEKDAY(TODAY()-1)+4),1,1)-MOD((DATE(YEAR(TODAY()-WEEKDAY(TODAY()-1)+4),1,1)-2),7)+(7*IF(MOD((DATE(YEAR(TODAY()-WEEKDAY(TODAY()-1)+4),1,1)-2),7)&gt;3,1,0))+7) )-_xlfn.ISOWEEKNUM(NOW())</f>
        <v>-33</v>
      </c>
      <c r="AC43" s="277"/>
      <c r="AD43" s="295" t="str">
        <f>TEXT(Errorlog_table[[#This Row],[Date]],"yyyy-mm-dd")&amp;"_"&amp;TEXT(Errorlog_table[[#This Row],[SDT_Timestamp]],"HH:MM:SS")&amp;"_"&amp;Errorlog_table[[#This Row],[System]]</f>
        <v>2025-01-20_09:07:00_GY86</v>
      </c>
      <c r="AE43" s="287" t="str">
        <f>Errorlog_table[[#This Row],[P_Hits]]</f>
        <v>N</v>
      </c>
      <c r="AF43" s="287">
        <v>0</v>
      </c>
    </row>
    <row r="44" spans="1:32" ht="99.75">
      <c r="A44" s="376" t="s">
        <v>7</v>
      </c>
      <c r="B44" s="277" t="str">
        <f>VLOOKUP(A44,'5000_Fleet'!A:D,2,FALSE)</f>
        <v>Intel</v>
      </c>
      <c r="C44" s="277" t="s">
        <v>171</v>
      </c>
      <c r="D44" s="277">
        <f>YEAR(DATE(YEAR(Errorlog_table[[#This Row],[Date]]-WEEKDAY(Errorlog_table[[#This Row],[Date]]-1)+4),1,1)-MOD((DATE(YEAR(Errorlog_table[[#This Row],[Date]]-WEEKDAY(Errorlog_table[[#This Row],[Date]]-1)+4),1,1)-2),7)+(7*IF(MOD((DATE(YEAR(Errorlog_table[[#This Row],[Date]]-WEEKDAY(Errorlog_table[[#This Row],[Date]]-1)+4),1,1)-2),7)&gt;3,1,0))+7)</f>
        <v>2025</v>
      </c>
      <c r="E44" s="278">
        <f>VALUE(TEXT(_xlfn.ISOWEEKNUM(Errorlog_table[[#This Row],[Date]]),"00"))</f>
        <v>4</v>
      </c>
      <c r="F44" s="410">
        <f>VALUE((Errorlog_table[[#This Row],[Year]])&amp;TEXT(Errorlog_table[[#This Row],[Week_Number]],"00"))</f>
        <v>202504</v>
      </c>
      <c r="G44" s="370">
        <v>45677</v>
      </c>
      <c r="H44" s="381" t="s">
        <v>354</v>
      </c>
      <c r="I44" s="376" t="s">
        <v>355</v>
      </c>
      <c r="J44" s="376" t="str">
        <f>IF(LEN(VALUE(MID(Errorlog_table[[#This Row],[Description]],FIND(":",Errorlog_table[[#This Row],[Description]])+1,6)))&gt;1,MID(Errorlog_table[[#This Row],[Description]],FIND(":",Errorlog_table[[#This Row],[Description]])+1,6),"")</f>
        <v>107222</v>
      </c>
      <c r="K44" s="280">
        <v>12.98333</v>
      </c>
      <c r="L44" s="376" t="s">
        <v>234</v>
      </c>
      <c r="M44" s="277">
        <v>0</v>
      </c>
      <c r="N44" s="292" t="s">
        <v>301</v>
      </c>
      <c r="O44" s="281" t="str">
        <f t="shared" si="2"/>
        <v>P825866</v>
      </c>
      <c r="P44" s="277">
        <f>LEN(Errorlog_table[[#This Row],[AIR]])</f>
        <v>7</v>
      </c>
      <c r="Q44" t="str" cm="1">
        <f t="array" ref="Q44">IF(OR(Errorlog_table[[#This Row],[AIR]]="n/a",Errorlog_table[[#This Row],[Event_code]]="Y"),"n/a",IF(Errorlog_table[[#This Row],[AIR]]="","no AIR",_xlfn.XLOOKUP(Errorlog_table[[#This Row],[AIR]],AIR_dump[[#All],[Number]],AIR_dump[[#All],[Type]],"not found",0,1)))</f>
        <v>BD</v>
      </c>
      <c r="R44" s="282" t="s">
        <v>356</v>
      </c>
      <c r="S44" s="347" t="str" cm="1">
        <f t="array" ref="S44">_xlfn.XLOOKUP(Errorlog_table[[#This Row],[AIR]],AIR_dump[[#All],[Number]],AIR_dump[[#All],[Close notes]])</f>
        <v xml:space="preserve">[intake 2442]
Wk42: New issue, intake ongoing
wk42.3 Investigation ongoing, expected feedback by Trumpf wk42.4 
wk43.3: RC understood. SW Patch currently only for EZ60 as containment. Need to still find a solution direction
wk44.3: Hardware as root cause </v>
      </c>
      <c r="T44" s="372">
        <f>Errorlog_table[[#This Row],[Year_Week_Number]]</f>
        <v>202504</v>
      </c>
      <c r="U44" s="284" t="s">
        <v>239</v>
      </c>
      <c r="V44" s="284" t="s">
        <v>230</v>
      </c>
      <c r="W44" s="285" t="str">
        <f>Errorlog_table[[#This Row],[System]]</f>
        <v>GY86</v>
      </c>
      <c r="X44" s="366" t="str">
        <f>Errorlog_table[[#This Row],[link]]</f>
        <v>P825866</v>
      </c>
      <c r="Y44" s="277" t="str">
        <f>Errorlog_table[[#This Row],[Root_Error]]</f>
        <v>LAA-010B</v>
      </c>
      <c r="Z44" s="277" t="str">
        <f>Errorlog_table[[#This Row],[Description]]</f>
        <v>EpmID:107222| SRC - MX actions failed, IS DO intermittent error | LAA-010B |</v>
      </c>
      <c r="AA44" s="277" t="str">
        <f t="shared" si="1"/>
        <v>XLD</v>
      </c>
      <c r="AB44" s="278">
        <f ca="1">_xlfn.ISOWEEKNUM(Errorlog_table[[#This Row],[Date]])+52*(Errorlog_table[[#This Row],[Year]]-YEAR(DATE(YEAR(TODAY()-WEEKDAY(TODAY()-1)+4),1,1)-MOD((DATE(YEAR(TODAY()-WEEKDAY(TODAY()-1)+4),1,1)-2),7)+(7*IF(MOD((DATE(YEAR(TODAY()-WEEKDAY(TODAY()-1)+4),1,1)-2),7)&gt;3,1,0))+7) )-_xlfn.ISOWEEKNUM(NOW())</f>
        <v>-33</v>
      </c>
      <c r="AC44" s="277"/>
      <c r="AD44" s="295" t="str">
        <f>TEXT(Errorlog_table[[#This Row],[Date]],"yyyy-mm-dd")&amp;"_"&amp;TEXT(Errorlog_table[[#This Row],[SDT_Timestamp]],"HH:MM:SS")&amp;"_"&amp;Errorlog_table[[#This Row],[System]]</f>
        <v>2025-01-20_23:34:00_GY86</v>
      </c>
      <c r="AE44" s="287" t="str">
        <f>Errorlog_table[[#This Row],[P_Hits]]</f>
        <v>N</v>
      </c>
      <c r="AF44" s="287">
        <v>0</v>
      </c>
    </row>
    <row r="45" spans="1:32" ht="14.85" customHeight="1">
      <c r="A45" s="376" t="s">
        <v>7</v>
      </c>
      <c r="B45" s="277" t="str">
        <f>VLOOKUP(A45,'5000_Fleet'!A:D,2,FALSE)</f>
        <v>Intel</v>
      </c>
      <c r="C45" s="277" t="s">
        <v>171</v>
      </c>
      <c r="D45" s="277">
        <f>YEAR(DATE(YEAR(Errorlog_table[[#This Row],[Date]]-WEEKDAY(Errorlog_table[[#This Row],[Date]]-1)+4),1,1)-MOD((DATE(YEAR(Errorlog_table[[#This Row],[Date]]-WEEKDAY(Errorlog_table[[#This Row],[Date]]-1)+4),1,1)-2),7)+(7*IF(MOD((DATE(YEAR(Errorlog_table[[#This Row],[Date]]-WEEKDAY(Errorlog_table[[#This Row],[Date]]-1)+4),1,1)-2),7)&gt;3,1,0))+7)</f>
        <v>2025</v>
      </c>
      <c r="E45" s="278">
        <f>VALUE(TEXT(_xlfn.ISOWEEKNUM(Errorlog_table[[#This Row],[Date]]),"00"))</f>
        <v>4</v>
      </c>
      <c r="F45" s="410">
        <f>VALUE((Errorlog_table[[#This Row],[Year]])&amp;TEXT(Errorlog_table[[#This Row],[Week_Number]],"00"))</f>
        <v>202504</v>
      </c>
      <c r="G45" s="370">
        <v>45677</v>
      </c>
      <c r="H45" s="381" t="s">
        <v>357</v>
      </c>
      <c r="I45" s="376" t="s">
        <v>358</v>
      </c>
      <c r="J45" s="376" t="str">
        <f>IF(LEN(VALUE(MID(Errorlog_table[[#This Row],[Description]],FIND(":",Errorlog_table[[#This Row],[Description]])+1,6)))&gt;1,MID(Errorlog_table[[#This Row],[Description]],FIND(":",Errorlog_table[[#This Row],[Description]])+1,6),"")</f>
        <v>107223</v>
      </c>
      <c r="K45" s="280">
        <v>0.76666699999999999</v>
      </c>
      <c r="L45" s="376" t="s">
        <v>234</v>
      </c>
      <c r="M45" s="277">
        <v>0</v>
      </c>
      <c r="N45" s="292" t="s">
        <v>301</v>
      </c>
      <c r="O45" s="281" t="str">
        <f t="shared" si="2"/>
        <v>P825866</v>
      </c>
      <c r="P45" s="277">
        <f>LEN(Errorlog_table[[#This Row],[AIR]])</f>
        <v>7</v>
      </c>
      <c r="Q45" t="str" cm="1">
        <f t="array" ref="Q45">IF(OR(Errorlog_table[[#This Row],[AIR]]="n/a",Errorlog_table[[#This Row],[Event_code]]="Y"),"n/a",IF(Errorlog_table[[#This Row],[AIR]]="","no AIR",_xlfn.XLOOKUP(Errorlog_table[[#This Row],[AIR]],AIR_dump[[#All],[Number]],AIR_dump[[#All],[Type]],"not found",0,1)))</f>
        <v>BD</v>
      </c>
      <c r="R45" s="282" t="s">
        <v>356</v>
      </c>
      <c r="S45" s="347" t="str" cm="1">
        <f t="array" ref="S45">_xlfn.XLOOKUP(Errorlog_table[[#This Row],[AIR]],AIR_dump[[#All],[Number]],AIR_dump[[#All],[Close notes]])</f>
        <v xml:space="preserve">[intake 2442]
Wk42: New issue, intake ongoing
wk42.3 Investigation ongoing, expected feedback by Trumpf wk42.4 
wk43.3: RC understood. SW Patch currently only for EZ60 as containment. Need to still find a solution direction
wk44.3: Hardware as root cause </v>
      </c>
      <c r="T45" s="372">
        <f>Errorlog_table[[#This Row],[Year_Week_Number]]</f>
        <v>202504</v>
      </c>
      <c r="U45" s="284" t="s">
        <v>239</v>
      </c>
      <c r="V45" s="284" t="s">
        <v>230</v>
      </c>
      <c r="W45" s="285" t="str">
        <f>Errorlog_table[[#This Row],[System]]</f>
        <v>GY86</v>
      </c>
      <c r="X45" s="366" t="str">
        <f>Errorlog_table[[#This Row],[link]]</f>
        <v>P825866</v>
      </c>
      <c r="Y45" s="277" t="str">
        <f>Errorlog_table[[#This Row],[Root_Error]]</f>
        <v>LAA-010B</v>
      </c>
      <c r="Z45" s="277" t="str">
        <f>Errorlog_table[[#This Row],[Description]]</f>
        <v>EpmID:107223| SRC - Lot abort, IS DO intermittent error | LAA-010B |</v>
      </c>
      <c r="AA45" s="277" t="str">
        <f t="shared" si="1"/>
        <v>Short down</v>
      </c>
      <c r="AB45" s="278">
        <f ca="1">_xlfn.ISOWEEKNUM(Errorlog_table[[#This Row],[Date]])+52*(Errorlog_table[[#This Row],[Year]]-YEAR(DATE(YEAR(TODAY()-WEEKDAY(TODAY()-1)+4),1,1)-MOD((DATE(YEAR(TODAY()-WEEKDAY(TODAY()-1)+4),1,1)-2),7)+(7*IF(MOD((DATE(YEAR(TODAY()-WEEKDAY(TODAY()-1)+4),1,1)-2),7)&gt;3,1,0))+7) )-_xlfn.ISOWEEKNUM(NOW())</f>
        <v>-33</v>
      </c>
      <c r="AC45" s="277"/>
      <c r="AD45" s="295" t="str">
        <f>TEXT(Errorlog_table[[#This Row],[Date]],"yyyy-mm-dd")&amp;"_"&amp;TEXT(Errorlog_table[[#This Row],[SDT_Timestamp]],"HH:MM:SS")&amp;"_"&amp;Errorlog_table[[#This Row],[System]]</f>
        <v>2025-01-20_20:16:00_GY86</v>
      </c>
      <c r="AE45" s="287" t="str">
        <f>Errorlog_table[[#This Row],[P_Hits]]</f>
        <v>N</v>
      </c>
      <c r="AF45" s="287">
        <v>0</v>
      </c>
    </row>
    <row r="46" spans="1:32" ht="43.5" customHeight="1">
      <c r="A46" s="376" t="s">
        <v>4</v>
      </c>
      <c r="B46" s="277" t="str">
        <f>VLOOKUP(A46,'5000_Fleet'!A:D,2,FALSE)</f>
        <v>Intel</v>
      </c>
      <c r="C46" s="277" t="s">
        <v>359</v>
      </c>
      <c r="D46" s="277">
        <f>YEAR(DATE(YEAR(Errorlog_table[[#This Row],[Date]]-WEEKDAY(Errorlog_table[[#This Row],[Date]]-1)+4),1,1)-MOD((DATE(YEAR(Errorlog_table[[#This Row],[Date]]-WEEKDAY(Errorlog_table[[#This Row],[Date]]-1)+4),1,1)-2),7)+(7*IF(MOD((DATE(YEAR(Errorlog_table[[#This Row],[Date]]-WEEKDAY(Errorlog_table[[#This Row],[Date]]-1)+4),1,1)-2),7)&gt;3,1,0))+7)</f>
        <v>2025</v>
      </c>
      <c r="E46" s="278">
        <f>VALUE(TEXT(_xlfn.ISOWEEKNUM(Errorlog_table[[#This Row],[Date]]),"00"))</f>
        <v>4</v>
      </c>
      <c r="F46" s="410">
        <f>VALUE((Errorlog_table[[#This Row],[Year]])&amp;TEXT(Errorlog_table[[#This Row],[Week_Number]],"00"))</f>
        <v>202504</v>
      </c>
      <c r="G46" s="370">
        <v>45679</v>
      </c>
      <c r="H46" s="381" t="s">
        <v>360</v>
      </c>
      <c r="I46" s="376" t="s">
        <v>361</v>
      </c>
      <c r="J46" s="376" t="str">
        <f>IF(LEN(VALUE(MID(Errorlog_table[[#This Row],[Description]],FIND(":",Errorlog_table[[#This Row],[Description]])+1,6)))&gt;1,MID(Errorlog_table[[#This Row],[Description]],FIND(":",Errorlog_table[[#This Row],[Description]])+1,6),"")</f>
        <v>107515</v>
      </c>
      <c r="K46" s="280">
        <v>2.3333330000000001</v>
      </c>
      <c r="L46" s="287" t="s">
        <v>92</v>
      </c>
      <c r="M46" s="277">
        <v>53039410</v>
      </c>
      <c r="N46" s="277" t="s">
        <v>362</v>
      </c>
      <c r="O46" s="281" t="str">
        <f t="shared" si="2"/>
        <v>P851550</v>
      </c>
      <c r="P46" s="277">
        <f>LEN(Errorlog_table[[#This Row],[AIR]])</f>
        <v>7</v>
      </c>
      <c r="Q46" cm="1">
        <f t="array" ref="Q46">IF(OR(Errorlog_table[[#This Row],[AIR]]="n/a",Errorlog_table[[#This Row],[Event_code]]="Y"),"n/a",IF(Errorlog_table[[#This Row],[AIR]]="","no AIR",_xlfn.XLOOKUP(Errorlog_table[[#This Row],[AIR]],AIR_dump[[#All],[Number]],AIR_dump[[#All],[Type]],"not found",0,1)))</f>
        <v>0</v>
      </c>
      <c r="R46" s="282"/>
      <c r="S46" s="347" t="str" cm="1">
        <f t="array" ref="S46">_xlfn.XLOOKUP(Errorlog_table[[#This Row],[AIR]],AIR_dump[[#All],[Number]],AIR_dump[[#All],[Close notes]])</f>
        <v>sp 22</v>
      </c>
      <c r="T46" s="372">
        <f>Errorlog_table[[#This Row],[Year_Week_Number]]</f>
        <v>202504</v>
      </c>
      <c r="U46" s="284" t="s">
        <v>239</v>
      </c>
      <c r="V46" s="284" t="s">
        <v>230</v>
      </c>
      <c r="W46" s="285" t="str">
        <f>Errorlog_table[[#This Row],[System]]</f>
        <v>CR51</v>
      </c>
      <c r="X46" s="366" t="str">
        <f>Errorlog_table[[#This Row],[link]]</f>
        <v>P851550</v>
      </c>
      <c r="Y46" s="277" t="str">
        <f>Errorlog_table[[#This Row],[Root_Error]]</f>
        <v>RH-98A3</v>
      </c>
      <c r="Z46" s="277" t="str">
        <f>Errorlog_table[[#This Row],[Description]]</f>
        <v>EpmID:107515| SCN - Reticle stuck in LDLK |  |</v>
      </c>
      <c r="AA46" s="277" t="str">
        <f t="shared" si="1"/>
        <v>Short down</v>
      </c>
      <c r="AB46" s="278">
        <f ca="1">_xlfn.ISOWEEKNUM(Errorlog_table[[#This Row],[Date]])+52*(Errorlog_table[[#This Row],[Year]]-YEAR(DATE(YEAR(TODAY()-WEEKDAY(TODAY()-1)+4),1,1)-MOD((DATE(YEAR(TODAY()-WEEKDAY(TODAY()-1)+4),1,1)-2),7)+(7*IF(MOD((DATE(YEAR(TODAY()-WEEKDAY(TODAY()-1)+4),1,1)-2),7)&gt;3,1,0))+7) )-_xlfn.ISOWEEKNUM(NOW())</f>
        <v>-33</v>
      </c>
      <c r="AC46" s="277"/>
      <c r="AD46" s="295" t="str">
        <f>TEXT(Errorlog_table[[#This Row],[Date]],"yyyy-mm-dd")&amp;"_"&amp;TEXT(Errorlog_table[[#This Row],[SDT_Timestamp]],"HH:MM:SS")&amp;"_"&amp;Errorlog_table[[#This Row],[System]]</f>
        <v>2025-01-22_06:00:00_CR51</v>
      </c>
      <c r="AE46" s="287" t="str">
        <f>Errorlog_table[[#This Row],[P_Hits]]</f>
        <v>N</v>
      </c>
      <c r="AF46" s="287">
        <v>0</v>
      </c>
    </row>
    <row r="47" spans="1:32" ht="14.85" customHeight="1">
      <c r="A47" s="376" t="s">
        <v>4</v>
      </c>
      <c r="B47" s="277" t="str">
        <f>VLOOKUP(A47,'5000_Fleet'!A:D,2,FALSE)</f>
        <v>Intel</v>
      </c>
      <c r="C47" s="277" t="s">
        <v>363</v>
      </c>
      <c r="D47" s="277">
        <f>YEAR(DATE(YEAR(Errorlog_table[[#This Row],[Date]]-WEEKDAY(Errorlog_table[[#This Row],[Date]]-1)+4),1,1)-MOD((DATE(YEAR(Errorlog_table[[#This Row],[Date]]-WEEKDAY(Errorlog_table[[#This Row],[Date]]-1)+4),1,1)-2),7)+(7*IF(MOD((DATE(YEAR(Errorlog_table[[#This Row],[Date]]-WEEKDAY(Errorlog_table[[#This Row],[Date]]-1)+4),1,1)-2),7)&gt;3,1,0))+7)</f>
        <v>2025</v>
      </c>
      <c r="E47" s="278">
        <f>VALUE(TEXT(_xlfn.ISOWEEKNUM(Errorlog_table[[#This Row],[Date]]),"00"))</f>
        <v>4</v>
      </c>
      <c r="F47" s="410">
        <f>VALUE((Errorlog_table[[#This Row],[Year]])&amp;TEXT(Errorlog_table[[#This Row],[Week_Number]],"00"))</f>
        <v>202504</v>
      </c>
      <c r="G47" s="370">
        <v>45680</v>
      </c>
      <c r="H47" s="381" t="s">
        <v>364</v>
      </c>
      <c r="I47" s="376" t="s">
        <v>365</v>
      </c>
      <c r="J47" s="376" t="str">
        <f>IF(LEN(VALUE(MID(Errorlog_table[[#This Row],[Description]],FIND(":",Errorlog_table[[#This Row],[Description]])+1,6)))&gt;1,MID(Errorlog_table[[#This Row],[Description]],FIND(":",Errorlog_table[[#This Row],[Description]])+1,6),"")</f>
        <v>107821</v>
      </c>
      <c r="K47" s="280">
        <v>0.56666700000000003</v>
      </c>
      <c r="L47" s="287" t="s">
        <v>92</v>
      </c>
      <c r="M47" s="277">
        <v>53041233</v>
      </c>
      <c r="N47" s="277" t="s">
        <v>366</v>
      </c>
      <c r="O47" s="281" t="str">
        <f t="shared" si="2"/>
        <v>P852254</v>
      </c>
      <c r="P47" s="277">
        <f>LEN(Errorlog_table[[#This Row],[AIR]])</f>
        <v>7</v>
      </c>
      <c r="Q47" cm="1">
        <f t="array" ref="Q47">IF(OR(Errorlog_table[[#This Row],[AIR]]="n/a",Errorlog_table[[#This Row],[Event_code]]="Y"),"n/a",IF(Errorlog_table[[#This Row],[AIR]]="","no AIR",_xlfn.XLOOKUP(Errorlog_table[[#This Row],[AIR]],AIR_dump[[#All],[Number]],AIR_dump[[#All],[Type]],"not found",0,1)))</f>
        <v>0</v>
      </c>
      <c r="R47" s="282" t="s">
        <v>367</v>
      </c>
      <c r="S47" s="347" t="str" cm="1">
        <f t="array" ref="S47">_xlfn.XLOOKUP(Errorlog_table[[#This Row],[AIR]],AIR_dump[[#All],[Number]],AIR_dump[[#All],[Close notes]])</f>
        <v>RU-465E dp/dt violation during venting</v>
      </c>
      <c r="T47" s="372">
        <f>Errorlog_table[[#This Row],[Year_Week_Number]]</f>
        <v>202504</v>
      </c>
      <c r="U47" s="284" t="s">
        <v>239</v>
      </c>
      <c r="V47" s="284" t="s">
        <v>230</v>
      </c>
      <c r="W47" s="285" t="str">
        <f>Errorlog_table[[#This Row],[System]]</f>
        <v>CR51</v>
      </c>
      <c r="X47" s="366" t="str">
        <f>Errorlog_table[[#This Row],[link]]</f>
        <v>P852254</v>
      </c>
      <c r="Y47" s="277" t="str">
        <f>Errorlog_table[[#This Row],[Root_Error]]</f>
        <v>RU-465E</v>
      </c>
      <c r="Z47" s="277" t="str">
        <f>Errorlog_table[[#This Row],[Description]]</f>
        <v>EpmID:107821| SCN - LOAD LOCK ERROR |  |</v>
      </c>
      <c r="AA47" s="277" t="str">
        <f t="shared" si="1"/>
        <v>Short down</v>
      </c>
      <c r="AB47" s="278">
        <f ca="1">_xlfn.ISOWEEKNUM(Errorlog_table[[#This Row],[Date]])+52*(Errorlog_table[[#This Row],[Year]]-YEAR(DATE(YEAR(TODAY()-WEEKDAY(TODAY()-1)+4),1,1)-MOD((DATE(YEAR(TODAY()-WEEKDAY(TODAY()-1)+4),1,1)-2),7)+(7*IF(MOD((DATE(YEAR(TODAY()-WEEKDAY(TODAY()-1)+4),1,1)-2),7)&gt;3,1,0))+7) )-_xlfn.ISOWEEKNUM(NOW())</f>
        <v>-33</v>
      </c>
      <c r="AC47" s="277"/>
      <c r="AD47" s="295" t="str">
        <f>TEXT(Errorlog_table[[#This Row],[Date]],"yyyy-mm-dd")&amp;"_"&amp;TEXT(Errorlog_table[[#This Row],[SDT_Timestamp]],"HH:MM:SS")&amp;"_"&amp;Errorlog_table[[#This Row],[System]]</f>
        <v>2025-01-23_22:38:00_CR51</v>
      </c>
      <c r="AE47" s="287" t="str">
        <f>Errorlog_table[[#This Row],[P_Hits]]</f>
        <v>N</v>
      </c>
      <c r="AF47" s="287">
        <v>0</v>
      </c>
    </row>
    <row r="48" spans="1:32" ht="14.85" customHeight="1">
      <c r="A48" s="376" t="s">
        <v>7</v>
      </c>
      <c r="B48" s="277" t="str">
        <f>VLOOKUP(A48,'5000_Fleet'!A:D,2,FALSE)</f>
        <v>Intel</v>
      </c>
      <c r="C48" s="277" t="s">
        <v>368</v>
      </c>
      <c r="D48" s="277">
        <f>YEAR(DATE(YEAR(Errorlog_table[[#This Row],[Date]]-WEEKDAY(Errorlog_table[[#This Row],[Date]]-1)+4),1,1)-MOD((DATE(YEAR(Errorlog_table[[#This Row],[Date]]-WEEKDAY(Errorlog_table[[#This Row],[Date]]-1)+4),1,1)-2),7)+(7*IF(MOD((DATE(YEAR(Errorlog_table[[#This Row],[Date]]-WEEKDAY(Errorlog_table[[#This Row],[Date]]-1)+4),1,1)-2),7)&gt;3,1,0))+7)</f>
        <v>2025</v>
      </c>
      <c r="E48" s="278">
        <f>VALUE(TEXT(_xlfn.ISOWEEKNUM(Errorlog_table[[#This Row],[Date]]),"00"))</f>
        <v>4</v>
      </c>
      <c r="F48" s="410">
        <f>VALUE((Errorlog_table[[#This Row],[Year]])&amp;TEXT(Errorlog_table[[#This Row],[Week_Number]],"00"))</f>
        <v>202504</v>
      </c>
      <c r="G48" s="370">
        <v>45681</v>
      </c>
      <c r="H48" s="381" t="s">
        <v>369</v>
      </c>
      <c r="I48" s="376" t="s">
        <v>370</v>
      </c>
      <c r="J48" s="376" t="str">
        <f>IF(LEN(VALUE(MID(Errorlog_table[[#This Row],[Description]],FIND(":",Errorlog_table[[#This Row],[Description]])+1,6)))&gt;1,MID(Errorlog_table[[#This Row],[Description]],FIND(":",Errorlog_table[[#This Row],[Description]])+1,6),"")</f>
        <v>107901</v>
      </c>
      <c r="K48" s="280">
        <v>5.9666670000000002</v>
      </c>
      <c r="L48" s="376" t="s">
        <v>114</v>
      </c>
      <c r="M48" s="277">
        <v>0</v>
      </c>
      <c r="N48" s="277" t="s">
        <v>271</v>
      </c>
      <c r="O48" s="281" t="str">
        <f t="shared" si="2"/>
        <v>P853275</v>
      </c>
      <c r="P48" s="277">
        <f>LEN(Errorlog_table[[#This Row],[AIR]])</f>
        <v>7</v>
      </c>
      <c r="Q48" cm="1">
        <f t="array" ref="Q48">IF(OR(Errorlog_table[[#This Row],[AIR]]="n/a",Errorlog_table[[#This Row],[Event_code]]="Y"),"n/a",IF(Errorlog_table[[#This Row],[AIR]]="","no AIR",_xlfn.XLOOKUP(Errorlog_table[[#This Row],[AIR]],AIR_dump[[#All],[Number]],AIR_dump[[#All],[Type]],"not found",0,1)))</f>
        <v>0</v>
      </c>
      <c r="R48" s="282"/>
      <c r="S48" s="347" t="str" cm="1">
        <f t="array" ref="S48">_xlfn.XLOOKUP(Errorlog_table[[#This Row],[AIR]],AIR_dump[[#All],[Number]],AIR_dump[[#All],[Close notes]])</f>
        <v>Firmware delivered W19 (COB swap done)</v>
      </c>
      <c r="T48" s="372">
        <f>Errorlog_table[[#This Row],[Year_Week_Number]]</f>
        <v>202504</v>
      </c>
      <c r="U48" s="284" t="s">
        <v>239</v>
      </c>
      <c r="V48" s="284" t="s">
        <v>230</v>
      </c>
      <c r="W48" s="285" t="str">
        <f>Errorlog_table[[#This Row],[System]]</f>
        <v>GY86</v>
      </c>
      <c r="X48" s="366" t="str">
        <f>Errorlog_table[[#This Row],[link]]</f>
        <v>P853275</v>
      </c>
      <c r="Y48" s="277" t="str">
        <f>Errorlog_table[[#This Row],[Root_Error]]</f>
        <v>ZF-370B</v>
      </c>
      <c r="Z48" s="277" t="str">
        <f>Errorlog_table[[#This Row],[Description]]</f>
        <v>EpmID:107901| SCN - Lot Abort for MCD Communication issue | ZF-370B |</v>
      </c>
      <c r="AA48" s="277" t="str">
        <f t="shared" si="1"/>
        <v>Short down</v>
      </c>
      <c r="AB48" s="278">
        <f ca="1">_xlfn.ISOWEEKNUM(Errorlog_table[[#This Row],[Date]])+52*(Errorlog_table[[#This Row],[Year]]-YEAR(DATE(YEAR(TODAY()-WEEKDAY(TODAY()-1)+4),1,1)-MOD((DATE(YEAR(TODAY()-WEEKDAY(TODAY()-1)+4),1,1)-2),7)+(7*IF(MOD((DATE(YEAR(TODAY()-WEEKDAY(TODAY()-1)+4),1,1)-2),7)&gt;3,1,0))+7) )-_xlfn.ISOWEEKNUM(NOW())</f>
        <v>-33</v>
      </c>
      <c r="AC48" s="277"/>
      <c r="AD48" s="295" t="str">
        <f>TEXT(Errorlog_table[[#This Row],[Date]],"yyyy-mm-dd")&amp;"_"&amp;TEXT(Errorlog_table[[#This Row],[SDT_Timestamp]],"HH:MM:SS")&amp;"_"&amp;Errorlog_table[[#This Row],[System]]</f>
        <v>2025-01-24_18:12:00_GY86</v>
      </c>
      <c r="AE48" s="287" t="str">
        <f>Errorlog_table[[#This Row],[P_Hits]]</f>
        <v>N</v>
      </c>
      <c r="AF48" s="287">
        <v>0</v>
      </c>
    </row>
    <row r="49" spans="1:32" ht="43.5" customHeight="1">
      <c r="A49" s="376" t="s">
        <v>7</v>
      </c>
      <c r="B49" s="277" t="str">
        <f>VLOOKUP(A49,'5000_Fleet'!A:D,2,FALSE)</f>
        <v>Intel</v>
      </c>
      <c r="C49" s="277" t="s">
        <v>251</v>
      </c>
      <c r="D49" s="277">
        <f>YEAR(DATE(YEAR(Errorlog_table[[#This Row],[Date]]-WEEKDAY(Errorlog_table[[#This Row],[Date]]-1)+4),1,1)-MOD((DATE(YEAR(Errorlog_table[[#This Row],[Date]]-WEEKDAY(Errorlog_table[[#This Row],[Date]]-1)+4),1,1)-2),7)+(7*IF(MOD((DATE(YEAR(Errorlog_table[[#This Row],[Date]]-WEEKDAY(Errorlog_table[[#This Row],[Date]]-1)+4),1,1)-2),7)&gt;3,1,0))+7)</f>
        <v>2025</v>
      </c>
      <c r="E49" s="278">
        <f>VALUE(TEXT(_xlfn.ISOWEEKNUM(Errorlog_table[[#This Row],[Date]]),"00"))</f>
        <v>4</v>
      </c>
      <c r="F49" s="410">
        <f>VALUE((Errorlog_table[[#This Row],[Year]])&amp;TEXT(Errorlog_table[[#This Row],[Week_Number]],"00"))</f>
        <v>202504</v>
      </c>
      <c r="G49" s="370">
        <v>45681</v>
      </c>
      <c r="H49" s="381" t="s">
        <v>371</v>
      </c>
      <c r="I49" s="376" t="s">
        <v>372</v>
      </c>
      <c r="J49" s="376" t="str">
        <f>IF(LEN(VALUE(MID(Errorlog_table[[#This Row],[Description]],FIND(":",Errorlog_table[[#This Row],[Description]])+1,6)))&gt;1,MID(Errorlog_table[[#This Row],[Description]],FIND(":",Errorlog_table[[#This Row],[Description]])+1,6),"")</f>
        <v>107925</v>
      </c>
      <c r="K49" s="280">
        <v>1.1333329999999999</v>
      </c>
      <c r="L49" s="376" t="s">
        <v>126</v>
      </c>
      <c r="M49" s="277">
        <v>0</v>
      </c>
      <c r="N49" s="277" t="s">
        <v>271</v>
      </c>
      <c r="O49" s="281" t="str">
        <f t="shared" si="2"/>
        <v>P853275</v>
      </c>
      <c r="P49" s="277">
        <f>LEN(Errorlog_table[[#This Row],[AIR]])</f>
        <v>7</v>
      </c>
      <c r="Q49" cm="1">
        <f t="array" ref="Q49">IF(OR(Errorlog_table[[#This Row],[AIR]]="n/a",Errorlog_table[[#This Row],[Event_code]]="Y"),"n/a",IF(Errorlog_table[[#This Row],[AIR]]="","no AIR",_xlfn.XLOOKUP(Errorlog_table[[#This Row],[AIR]],AIR_dump[[#All],[Number]],AIR_dump[[#All],[Type]],"not found",0,1)))</f>
        <v>0</v>
      </c>
      <c r="R49" s="282" t="str" cm="1">
        <f t="array" ref="R49">IF(OR(Errorlog_table[[#This Row],[AIR]]="n/a",Errorlog_table[[#This Row],[Event_code]]="Y"),"n/a",IF(Errorlog_table[[#This Row],[AIR]]="","no AIR",_xlfn.XLOOKUP(Errorlog_table[[#This Row],[AIR]],AIR_dump[[#All],[Number]],AIR_dump[[#All],[Summary]],"not found",0,1)))</f>
        <v>P853275 - NXE:3800E and EXE:5000 Destination Violation Error ZH-221D</v>
      </c>
      <c r="S49" s="347" t="str" cm="1">
        <f t="array" ref="S49">_xlfn.XLOOKUP(Errorlog_table[[#This Row],[AIR]],AIR_dump[[#All],[Number]],AIR_dump[[#All],[Close notes]])</f>
        <v>Firmware delivered W19 (COB swap done)</v>
      </c>
      <c r="T49" s="372">
        <f>Errorlog_table[[#This Row],[Year_Week_Number]]</f>
        <v>202504</v>
      </c>
      <c r="U49" s="284" t="s">
        <v>239</v>
      </c>
      <c r="V49" s="284" t="s">
        <v>230</v>
      </c>
      <c r="W49" s="285" t="str">
        <f>Errorlog_table[[#This Row],[System]]</f>
        <v>GY86</v>
      </c>
      <c r="X49" s="366" t="str">
        <f>Errorlog_table[[#This Row],[link]]</f>
        <v>P853275</v>
      </c>
      <c r="Y49" s="277" t="str">
        <f>Errorlog_table[[#This Row],[Root_Error]]</f>
        <v>ZH-221D</v>
      </c>
      <c r="Z49" s="277" t="str">
        <f>Errorlog_table[[#This Row],[Description]]</f>
        <v>EpmID:107925| SCN - Lot Abort for HSSL error | ZH-221D |</v>
      </c>
      <c r="AA49" s="277" t="str">
        <f t="shared" si="1"/>
        <v>Short down</v>
      </c>
      <c r="AB49" s="278">
        <f ca="1">_xlfn.ISOWEEKNUM(Errorlog_table[[#This Row],[Date]])+52*(Errorlog_table[[#This Row],[Year]]-YEAR(DATE(YEAR(TODAY()-WEEKDAY(TODAY()-1)+4),1,1)-MOD((DATE(YEAR(TODAY()-WEEKDAY(TODAY()-1)+4),1,1)-2),7)+(7*IF(MOD((DATE(YEAR(TODAY()-WEEKDAY(TODAY()-1)+4),1,1)-2),7)&gt;3,1,0))+7) )-_xlfn.ISOWEEKNUM(NOW())</f>
        <v>-33</v>
      </c>
      <c r="AC49" s="277"/>
      <c r="AD49" s="295" t="str">
        <f>TEXT(Errorlog_table[[#This Row],[Date]],"yyyy-mm-dd")&amp;"_"&amp;TEXT(Errorlog_table[[#This Row],[SDT_Timestamp]],"HH:MM:SS")&amp;"_"&amp;Errorlog_table[[#This Row],[System]]</f>
        <v>2025-01-24_10:27:00_GY86</v>
      </c>
      <c r="AE49" s="287" t="str">
        <f>Errorlog_table[[#This Row],[P_Hits]]</f>
        <v>N</v>
      </c>
      <c r="AF49" s="287">
        <v>0</v>
      </c>
    </row>
    <row r="50" spans="1:32" ht="29.1" customHeight="1">
      <c r="A50" s="376" t="s">
        <v>7</v>
      </c>
      <c r="B50" s="277" t="str">
        <f>VLOOKUP(A50,'5000_Fleet'!A:D,2,FALSE)</f>
        <v>Intel</v>
      </c>
      <c r="C50" s="277" t="s">
        <v>368</v>
      </c>
      <c r="D50" s="277">
        <f>YEAR(DATE(YEAR(Errorlog_table[[#This Row],[Date]]-WEEKDAY(Errorlog_table[[#This Row],[Date]]-1)+4),1,1)-MOD((DATE(YEAR(Errorlog_table[[#This Row],[Date]]-WEEKDAY(Errorlog_table[[#This Row],[Date]]-1)+4),1,1)-2),7)+(7*IF(MOD((DATE(YEAR(Errorlog_table[[#This Row],[Date]]-WEEKDAY(Errorlog_table[[#This Row],[Date]]-1)+4),1,1)-2),7)&gt;3,1,0))+7)</f>
        <v>2025</v>
      </c>
      <c r="E50" s="278">
        <f>VALUE(TEXT(_xlfn.ISOWEEKNUM(Errorlog_table[[#This Row],[Date]]),"00"))</f>
        <v>4</v>
      </c>
      <c r="F50" s="410">
        <f>VALUE((Errorlog_table[[#This Row],[Year]])&amp;TEXT(Errorlog_table[[#This Row],[Week_Number]],"00"))</f>
        <v>202504</v>
      </c>
      <c r="G50" s="370">
        <v>45683</v>
      </c>
      <c r="H50" s="381" t="s">
        <v>373</v>
      </c>
      <c r="I50" s="376" t="s">
        <v>374</v>
      </c>
      <c r="J50" s="376" t="str">
        <f>IF(LEN(VALUE(MID(Errorlog_table[[#This Row],[Description]],FIND(":",Errorlog_table[[#This Row],[Description]])+1,6)))&gt;1,MID(Errorlog_table[[#This Row],[Description]],FIND(":",Errorlog_table[[#This Row],[Description]])+1,6),"")</f>
        <v>107924</v>
      </c>
      <c r="K50" s="289">
        <v>0.88333300000000003</v>
      </c>
      <c r="L50" s="376" t="s">
        <v>114</v>
      </c>
      <c r="M50" s="277">
        <v>0</v>
      </c>
      <c r="N50" s="277" t="s">
        <v>271</v>
      </c>
      <c r="O50" s="281" t="str">
        <f t="shared" si="2"/>
        <v>P853275</v>
      </c>
      <c r="P50" s="277">
        <f>LEN(Errorlog_table[[#This Row],[AIR]])</f>
        <v>7</v>
      </c>
      <c r="Q50" cm="1">
        <f t="array" ref="Q50">IF(OR(Errorlog_table[[#This Row],[AIR]]="n/a",Errorlog_table[[#This Row],[Event_code]]="Y"),"n/a",IF(Errorlog_table[[#This Row],[AIR]]="","no AIR",_xlfn.XLOOKUP(Errorlog_table[[#This Row],[AIR]],AIR_dump[[#All],[Number]],AIR_dump[[#All],[Type]],"not found",0,1)))</f>
        <v>0</v>
      </c>
      <c r="R50" s="282"/>
      <c r="S50" s="347" t="str" cm="1">
        <f t="array" ref="S50">_xlfn.XLOOKUP(Errorlog_table[[#This Row],[AIR]],AIR_dump[[#All],[Number]],AIR_dump[[#All],[Close notes]])</f>
        <v>Firmware delivered W19 (COB swap done)</v>
      </c>
      <c r="T50" s="372">
        <f>Errorlog_table[[#This Row],[Year_Week_Number]]</f>
        <v>202504</v>
      </c>
      <c r="U50" s="284" t="s">
        <v>239</v>
      </c>
      <c r="V50" s="284" t="s">
        <v>230</v>
      </c>
      <c r="W50" s="285" t="str">
        <f>Errorlog_table[[#This Row],[System]]</f>
        <v>GY86</v>
      </c>
      <c r="X50" s="366" t="str">
        <f>Errorlog_table[[#This Row],[link]]</f>
        <v>P853275</v>
      </c>
      <c r="Y50" s="277" t="str">
        <f>Errorlog_table[[#This Row],[Root_Error]]</f>
        <v>ZF-370B</v>
      </c>
      <c r="Z50" s="277" t="str">
        <f>Errorlog_table[[#This Row],[Description]]</f>
        <v>EpmID:107924| SCN - Lot abort | ZF-370B |</v>
      </c>
      <c r="AA50" s="277" t="str">
        <f t="shared" si="1"/>
        <v>Short down</v>
      </c>
      <c r="AB50" s="278">
        <f ca="1">_xlfn.ISOWEEKNUM(Errorlog_table[[#This Row],[Date]])+52*(Errorlog_table[[#This Row],[Year]]-YEAR(DATE(YEAR(TODAY()-WEEKDAY(TODAY()-1)+4),1,1)-MOD((DATE(YEAR(TODAY()-WEEKDAY(TODAY()-1)+4),1,1)-2),7)+(7*IF(MOD((DATE(YEAR(TODAY()-WEEKDAY(TODAY()-1)+4),1,1)-2),7)&gt;3,1,0))+7) )-_xlfn.ISOWEEKNUM(NOW())</f>
        <v>-33</v>
      </c>
      <c r="AC50" s="277"/>
      <c r="AD50" s="295" t="str">
        <f>TEXT(Errorlog_table[[#This Row],[Date]],"yyyy-mm-dd")&amp;"_"&amp;TEXT(Errorlog_table[[#This Row],[SDT_Timestamp]],"HH:MM:SS")&amp;"_"&amp;Errorlog_table[[#This Row],[System]]</f>
        <v>2025-01-26_10:55:00_GY86</v>
      </c>
      <c r="AE50" s="287" t="str">
        <f>Errorlog_table[[#This Row],[P_Hits]]</f>
        <v>N</v>
      </c>
      <c r="AF50" s="287">
        <v>0</v>
      </c>
    </row>
    <row r="51" spans="1:32" ht="28.5">
      <c r="A51" s="382" t="s">
        <v>7</v>
      </c>
      <c r="B51" s="277" t="str">
        <f>VLOOKUP(A51,'5000_Fleet'!A:D,2,FALSE)</f>
        <v>Intel</v>
      </c>
      <c r="C51" s="277" t="s">
        <v>251</v>
      </c>
      <c r="D51" s="277">
        <f>YEAR(DATE(YEAR(Errorlog_table[[#This Row],[Date]]-WEEKDAY(Errorlog_table[[#This Row],[Date]]-1)+4),1,1)-MOD((DATE(YEAR(Errorlog_table[[#This Row],[Date]]-WEEKDAY(Errorlog_table[[#This Row],[Date]]-1)+4),1,1)-2),7)+(7*IF(MOD((DATE(YEAR(Errorlog_table[[#This Row],[Date]]-WEEKDAY(Errorlog_table[[#This Row],[Date]]-1)+4),1,1)-2),7)&gt;3,1,0))+7)</f>
        <v>2025</v>
      </c>
      <c r="E51" s="278">
        <f>VALUE(TEXT(_xlfn.ISOWEEKNUM(Errorlog_table[[#This Row],[Date]]),"00"))</f>
        <v>4</v>
      </c>
      <c r="F51" s="410">
        <f>VALUE((Errorlog_table[[#This Row],[Year]])&amp;TEXT(Errorlog_table[[#This Row],[Week_Number]],"00"))</f>
        <v>202504</v>
      </c>
      <c r="G51" s="370">
        <v>45683</v>
      </c>
      <c r="H51" s="381" t="s">
        <v>375</v>
      </c>
      <c r="I51" s="335" t="s">
        <v>376</v>
      </c>
      <c r="J51" s="376" t="str">
        <f>IF(LEN(VALUE(MID(Errorlog_table[[#This Row],[Description]],FIND(":",Errorlog_table[[#This Row],[Description]])+1,6)))&gt;1,MID(Errorlog_table[[#This Row],[Description]],FIND(":",Errorlog_table[[#This Row],[Description]])+1,6),"")</f>
        <v>107902</v>
      </c>
      <c r="K51" s="289">
        <v>0.96666700000000005</v>
      </c>
      <c r="L51" s="335" t="s">
        <v>126</v>
      </c>
      <c r="M51" s="277">
        <v>0</v>
      </c>
      <c r="N51" s="277" t="s">
        <v>271</v>
      </c>
      <c r="O51" s="281" t="str">
        <f t="shared" si="2"/>
        <v>P853275</v>
      </c>
      <c r="P51" s="277">
        <f>LEN(Errorlog_table[[#This Row],[AIR]])</f>
        <v>7</v>
      </c>
      <c r="Q51" cm="1">
        <f t="array" ref="Q51">IF(OR(Errorlog_table[[#This Row],[AIR]]="n/a",Errorlog_table[[#This Row],[Event_code]]="Y"),"n/a",IF(Errorlog_table[[#This Row],[AIR]]="","no AIR",_xlfn.XLOOKUP(Errorlog_table[[#This Row],[AIR]],AIR_dump[[#All],[Number]],AIR_dump[[#All],[Type]],"not found",0,1)))</f>
        <v>0</v>
      </c>
      <c r="R51" s="282" t="str" cm="1">
        <f t="array" ref="R51">IF(OR(Errorlog_table[[#This Row],[AIR]]="n/a",Errorlog_table[[#This Row],[Event_code]]="Y"),"n/a",IF(Errorlog_table[[#This Row],[AIR]]="","no AIR",_xlfn.XLOOKUP(Errorlog_table[[#This Row],[AIR]],AIR_dump[[#All],[Number]],AIR_dump[[#All],[Summary]],"not found",0,1)))</f>
        <v>P853275 - NXE:3800E and EXE:5000 Destination Violation Error ZH-221D</v>
      </c>
      <c r="S51" s="347" t="str" cm="1">
        <f t="array" ref="S51">_xlfn.XLOOKUP(Errorlog_table[[#This Row],[AIR]],AIR_dump[[#All],[Number]],AIR_dump[[#All],[Close notes]])</f>
        <v>Firmware delivered W19 (COB swap done)</v>
      </c>
      <c r="T51" s="372">
        <f>Errorlog_table[[#This Row],[Year_Week_Number]]</f>
        <v>202504</v>
      </c>
      <c r="U51" s="284" t="s">
        <v>239</v>
      </c>
      <c r="V51" s="284" t="s">
        <v>230</v>
      </c>
      <c r="W51" s="285" t="str">
        <f>Errorlog_table[[#This Row],[System]]</f>
        <v>GY86</v>
      </c>
      <c r="X51" s="366" t="str">
        <f>Errorlog_table[[#This Row],[link]]</f>
        <v>P853275</v>
      </c>
      <c r="Y51" s="277" t="str">
        <f>Errorlog_table[[#This Row],[Root_Error]]</f>
        <v>ZH-221D</v>
      </c>
      <c r="Z51" s="277" t="str">
        <f>Errorlog_table[[#This Row],[Description]]</f>
        <v>EpmID:107902| SCN -  ZH-221D lot abort | ZH-221D |</v>
      </c>
      <c r="AA51" s="277" t="str">
        <f t="shared" si="1"/>
        <v>Short down</v>
      </c>
      <c r="AB51" s="278">
        <f ca="1">_xlfn.ISOWEEKNUM(Errorlog_table[[#This Row],[Date]])+52*(Errorlog_table[[#This Row],[Year]]-YEAR(DATE(YEAR(TODAY()-WEEKDAY(TODAY()-1)+4),1,1)-MOD((DATE(YEAR(TODAY()-WEEKDAY(TODAY()-1)+4),1,1)-2),7)+(7*IF(MOD((DATE(YEAR(TODAY()-WEEKDAY(TODAY()-1)+4),1,1)-2),7)&gt;3,1,0))+7) )-_xlfn.ISOWEEKNUM(NOW())</f>
        <v>-33</v>
      </c>
      <c r="AC51" s="277"/>
      <c r="AD51" s="294" t="str">
        <f>TEXT(Errorlog_table[[#This Row],[Date]],"yyyy-mm-dd")&amp;"_"&amp;TEXT(Errorlog_table[[#This Row],[SDT_Timestamp]],"HH:MM:SS")&amp;"_"&amp;Errorlog_table[[#This Row],[System]]</f>
        <v>2025-01-26_08:24:00_GY86</v>
      </c>
      <c r="AE51" s="287" t="str">
        <f>Errorlog_table[[#This Row],[P_Hits]]</f>
        <v>N</v>
      </c>
      <c r="AF51" s="287">
        <v>0</v>
      </c>
    </row>
    <row r="52" spans="1:32" ht="28.5">
      <c r="A52" s="383" t="s">
        <v>7</v>
      </c>
      <c r="B52" s="277" t="str">
        <f>VLOOKUP(A52,'5000_Fleet'!A:D,2,FALSE)</f>
        <v>Intel</v>
      </c>
      <c r="C52" s="277" t="s">
        <v>377</v>
      </c>
      <c r="D52" s="277">
        <f>YEAR(DATE(YEAR(Errorlog_table[[#This Row],[Date]]-WEEKDAY(Errorlog_table[[#This Row],[Date]]-1)+4),1,1)-MOD((DATE(YEAR(Errorlog_table[[#This Row],[Date]]-WEEKDAY(Errorlog_table[[#This Row],[Date]]-1)+4),1,1)-2),7)+(7*IF(MOD((DATE(YEAR(Errorlog_table[[#This Row],[Date]]-WEEKDAY(Errorlog_table[[#This Row],[Date]]-1)+4),1,1)-2),7)&gt;3,1,0))+7)</f>
        <v>2025</v>
      </c>
      <c r="E52" s="278">
        <f>VALUE(TEXT(_xlfn.ISOWEEKNUM(Errorlog_table[[#This Row],[Date]]),"00"))</f>
        <v>5</v>
      </c>
      <c r="F52" s="410">
        <f>VALUE((Errorlog_table[[#This Row],[Year]])&amp;TEXT(Errorlog_table[[#This Row],[Week_Number]],"00"))</f>
        <v>202505</v>
      </c>
      <c r="G52" s="384">
        <v>45684</v>
      </c>
      <c r="H52" s="289" t="s">
        <v>378</v>
      </c>
      <c r="I52" s="385" t="s">
        <v>379</v>
      </c>
      <c r="J52" s="385" t="str">
        <f>IF(LEN(VALUE(MID(Errorlog_table[[#This Row],[Description]],FIND(":",Errorlog_table[[#This Row],[Description]])+1,6)))&gt;1,MID(Errorlog_table[[#This Row],[Description]],FIND(":",Errorlog_table[[#This Row],[Description]])+1,6),"")</f>
        <v>108151</v>
      </c>
      <c r="K52" s="289">
        <v>0.86666699999999997</v>
      </c>
      <c r="L52" s="287" t="s">
        <v>92</v>
      </c>
      <c r="M52" s="289">
        <v>53043348</v>
      </c>
      <c r="N52" s="277" t="s">
        <v>380</v>
      </c>
      <c r="O52" s="281" t="str">
        <f t="shared" si="2"/>
        <v>P853301</v>
      </c>
      <c r="P52" s="277">
        <f>LEN(Errorlog_table[[#This Row],[AIR]])</f>
        <v>7</v>
      </c>
      <c r="Q52" cm="1">
        <f t="array" ref="Q52">IF(OR(Errorlog_table[[#This Row],[AIR]]="n/a",Errorlog_table[[#This Row],[Event_code]]="Y"),"n/a",IF(Errorlog_table[[#This Row],[AIR]]="","no AIR",_xlfn.XLOOKUP(Errorlog_table[[#This Row],[AIR]],AIR_dump[[#All],[Number]],AIR_dump[[#All],[Type]],"not found",0,1)))</f>
        <v>0</v>
      </c>
      <c r="R52" s="282" t="str" cm="1">
        <f t="array" ref="R52">IF(OR(Errorlog_table[[#This Row],[AIR]]="n/a",Errorlog_table[[#This Row],[Event_code]]="Y"),"n/a",IF(Errorlog_table[[#This Row],[AIR]]="","no AIR",_xlfn.XLOOKUP(Errorlog_table[[#This Row],[AIR]],AIR_dump[[#All],[Number]],AIR_dump[[#All],[Summary]],"not found",0,1)))</f>
        <v>IPT auto recovery feature</v>
      </c>
      <c r="S52" s="347" cm="1">
        <f t="array" ref="S52">_xlfn.XLOOKUP(Errorlog_table[[#This Row],[AIR]],AIR_dump[[#All],[Number]],AIR_dump[[#All],[Close notes]])</f>
        <v>2513.5</v>
      </c>
      <c r="T52" s="372">
        <f>Errorlog_table[[#This Row],[Year_Week_Number]]</f>
        <v>202505</v>
      </c>
      <c r="U52" s="284" t="s">
        <v>239</v>
      </c>
      <c r="V52" s="284" t="s">
        <v>230</v>
      </c>
      <c r="W52" s="285" t="str">
        <f>Errorlog_table[[#This Row],[System]]</f>
        <v>GY86</v>
      </c>
      <c r="X52" s="366" t="str">
        <f>Errorlog_table[[#This Row],[link]]</f>
        <v>P853301</v>
      </c>
      <c r="Y52" s="277" t="str">
        <f>Errorlog_table[[#This Row],[Root_Error]]</f>
        <v>PG-7407</v>
      </c>
      <c r="Z52" s="277" t="str">
        <f>Errorlog_table[[#This Row],[Description]]</f>
        <v xml:space="preserve">EpmID:108151| SCN - Unalbe to load reticle via oht | PG-7407 | </v>
      </c>
      <c r="AA52" s="277" t="str">
        <f t="shared" si="1"/>
        <v>Short down</v>
      </c>
      <c r="AB52" s="278">
        <f ca="1">_xlfn.ISOWEEKNUM(Errorlog_table[[#This Row],[Date]])+52*(Errorlog_table[[#This Row],[Year]]-YEAR(DATE(YEAR(TODAY()-WEEKDAY(TODAY()-1)+4),1,1)-MOD((DATE(YEAR(TODAY()-WEEKDAY(TODAY()-1)+4),1,1)-2),7)+(7*IF(MOD((DATE(YEAR(TODAY()-WEEKDAY(TODAY()-1)+4),1,1)-2),7)&gt;3,1,0))+7) )-_xlfn.ISOWEEKNUM(NOW())</f>
        <v>-32</v>
      </c>
      <c r="AC52" s="277">
        <f>COUNTIF(MTBF_pareto[AIR],Errorlog_table[[#This Row],[AIR]])</f>
        <v>0</v>
      </c>
      <c r="AD52" s="305" t="str">
        <f>TEXT(Errorlog_table[[#This Row],[Date]],"yyyy-mm-dd")&amp;"_"&amp;TEXT(Errorlog_table[[#This Row],[SDT_Timestamp]],"HH:MM:SS")&amp;"_"&amp;Errorlog_table[[#This Row],[System]]</f>
        <v>2025-01-27_12:48:00_GY86</v>
      </c>
      <c r="AE52" s="287" t="str">
        <f>Errorlog_table[[#This Row],[P_Hits]]</f>
        <v>N</v>
      </c>
      <c r="AF52" s="287">
        <v>0</v>
      </c>
    </row>
    <row r="53" spans="1:32" ht="15">
      <c r="A53" s="383" t="s">
        <v>4</v>
      </c>
      <c r="B53" s="277" t="str">
        <f>VLOOKUP(A53,'5000_Fleet'!A:D,2,FALSE)</f>
        <v>Intel</v>
      </c>
      <c r="C53" s="277" t="s">
        <v>381</v>
      </c>
      <c r="D53" s="277">
        <f>YEAR(DATE(YEAR(Errorlog_table[[#This Row],[Date]]-WEEKDAY(Errorlog_table[[#This Row],[Date]]-1)+4),1,1)-MOD((DATE(YEAR(Errorlog_table[[#This Row],[Date]]-WEEKDAY(Errorlog_table[[#This Row],[Date]]-1)+4),1,1)-2),7)+(7*IF(MOD((DATE(YEAR(Errorlog_table[[#This Row],[Date]]-WEEKDAY(Errorlog_table[[#This Row],[Date]]-1)+4),1,1)-2),7)&gt;3,1,0))+7)</f>
        <v>2025</v>
      </c>
      <c r="E53" s="278">
        <f>VALUE(TEXT(_xlfn.ISOWEEKNUM(Errorlog_table[[#This Row],[Date]]),"00"))</f>
        <v>5</v>
      </c>
      <c r="F53" s="410">
        <f>VALUE((Errorlog_table[[#This Row],[Year]])&amp;TEXT(Errorlog_table[[#This Row],[Week_Number]],"00"))</f>
        <v>202505</v>
      </c>
      <c r="G53" s="384">
        <v>45684</v>
      </c>
      <c r="H53" s="376" t="s">
        <v>382</v>
      </c>
      <c r="I53" s="366" t="s">
        <v>383</v>
      </c>
      <c r="J53" s="385" t="str">
        <f>IF(LEN(VALUE(MID(Errorlog_table[[#This Row],[Description]],FIND(":",Errorlog_table[[#This Row],[Description]])+1,6)))&gt;1,MID(Errorlog_table[[#This Row],[Description]],FIND(":",Errorlog_table[[#This Row],[Description]])+1,6),"")</f>
        <v>108143</v>
      </c>
      <c r="K53" s="289">
        <v>0.13333300000000001</v>
      </c>
      <c r="L53" s="277" t="s">
        <v>92</v>
      </c>
      <c r="M53" s="292">
        <v>53043277</v>
      </c>
      <c r="N53" s="287" t="s">
        <v>384</v>
      </c>
      <c r="O53" s="281" t="str">
        <f t="shared" si="2"/>
        <v>P792003</v>
      </c>
      <c r="P53" s="277">
        <f>LEN(Errorlog_table[[#This Row],[AIR]])</f>
        <v>7</v>
      </c>
      <c r="Q53" cm="1">
        <f t="array" ref="Q53">IF(OR(Errorlog_table[[#This Row],[AIR]]="n/a",Errorlog_table[[#This Row],[Event_code]]="Y"),"n/a",IF(Errorlog_table[[#This Row],[AIR]]="","no AIR",_xlfn.XLOOKUP(Errorlog_table[[#This Row],[AIR]],AIR_dump[[#All],[Number]],AIR_dump[[#All],[Type]],"not found",0,1)))</f>
        <v>0</v>
      </c>
      <c r="R53" s="282" t="str" cm="1">
        <f t="array" ref="R53">IF(OR(Errorlog_table[[#This Row],[AIR]]="n/a",Errorlog_table[[#This Row],[Event_code]]="Y"),"n/a",IF(Errorlog_table[[#This Row],[AIR]]="","no AIR",_xlfn.XLOOKUP(Errorlog_table[[#This Row],[AIR]],AIR_dump[[#All],[Number]],AIR_dump[[#All],[Summary]],"not found",0,1)))</f>
        <v>EXE NOK w/ Dose Eval Enabled - Buffer Size != nr Samples</v>
      </c>
      <c r="S53" s="347" t="str" cm="1">
        <f t="array" ref="S53">_xlfn.XLOOKUP(Errorlog_table[[#This Row],[AIR]],AIR_dump[[#All],[Number]],AIR_dump[[#All],[Close notes]])</f>
        <v>fixed in 5200 Firmware!</v>
      </c>
      <c r="T53" s="372">
        <f>Errorlog_table[[#This Row],[Year_Week_Number]]</f>
        <v>202505</v>
      </c>
      <c r="U53" s="284" t="s">
        <v>230</v>
      </c>
      <c r="V53" s="284" t="s">
        <v>230</v>
      </c>
      <c r="W53" s="285" t="str">
        <f>Errorlog_table[[#This Row],[System]]</f>
        <v>CR51</v>
      </c>
      <c r="X53" s="366" t="str">
        <f>Errorlog_table[[#This Row],[link]]</f>
        <v>P792003</v>
      </c>
      <c r="Y53" s="277" t="str">
        <f>Errorlog_table[[#This Row],[Root_Error]]</f>
        <v>DW-5A01</v>
      </c>
      <c r="Z53" s="277" t="str">
        <f>Errorlog_table[[#This Row],[Description]]</f>
        <v xml:space="preserve">EpmID:108143| SCN - lot abort on DW-5A01 | DW-5A01 | </v>
      </c>
      <c r="AA53" s="277" t="str">
        <f t="shared" si="1"/>
        <v>Short down</v>
      </c>
      <c r="AB53" s="278">
        <f ca="1">_xlfn.ISOWEEKNUM(Errorlog_table[[#This Row],[Date]])+52*(Errorlog_table[[#This Row],[Year]]-YEAR(DATE(YEAR(TODAY()-WEEKDAY(TODAY()-1)+4),1,1)-MOD((DATE(YEAR(TODAY()-WEEKDAY(TODAY()-1)+4),1,1)-2),7)+(7*IF(MOD((DATE(YEAR(TODAY()-WEEKDAY(TODAY()-1)+4),1,1)-2),7)&gt;3,1,0))+7) )-_xlfn.ISOWEEKNUM(NOW())</f>
        <v>-32</v>
      </c>
      <c r="AC53" s="277">
        <f>COUNTIF(MTBF_pareto[AIR],Errorlog_table[[#This Row],[AIR]])</f>
        <v>0</v>
      </c>
      <c r="AD53" s="305" t="str">
        <f>TEXT(Errorlog_table[[#This Row],[Date]],"yyyy-mm-dd")&amp;"_"&amp;TEXT(Errorlog_table[[#This Row],[SDT_Timestamp]],"HH:MM:SS")&amp;"_"&amp;Errorlog_table[[#This Row],[System]]</f>
        <v>2025-01-27_12:46:00_CR51</v>
      </c>
      <c r="AE53" s="287" t="str">
        <f>Errorlog_table[[#This Row],[P_Hits]]</f>
        <v>Y</v>
      </c>
      <c r="AF53" s="287">
        <v>0</v>
      </c>
    </row>
    <row r="54" spans="1:32" ht="28.5">
      <c r="A54" s="383" t="s">
        <v>7</v>
      </c>
      <c r="B54" s="277" t="str">
        <f>VLOOKUP(A54,'5000_Fleet'!A:D,2,FALSE)</f>
        <v>Intel</v>
      </c>
      <c r="C54" s="277" t="s">
        <v>385</v>
      </c>
      <c r="D54" s="277">
        <f>YEAR(DATE(YEAR(Errorlog_table[[#This Row],[Date]]-WEEKDAY(Errorlog_table[[#This Row],[Date]]-1)+4),1,1)-MOD((DATE(YEAR(Errorlog_table[[#This Row],[Date]]-WEEKDAY(Errorlog_table[[#This Row],[Date]]-1)+4),1,1)-2),7)+(7*IF(MOD((DATE(YEAR(Errorlog_table[[#This Row],[Date]]-WEEKDAY(Errorlog_table[[#This Row],[Date]]-1)+4),1,1)-2),7)&gt;3,1,0))+7)</f>
        <v>2025</v>
      </c>
      <c r="E54" s="278">
        <f>VALUE(TEXT(_xlfn.ISOWEEKNUM(Errorlog_table[[#This Row],[Date]]),"00"))</f>
        <v>5</v>
      </c>
      <c r="F54" s="410">
        <f>VALUE((Errorlog_table[[#This Row],[Year]])&amp;TEXT(Errorlog_table[[#This Row],[Week_Number]],"00"))</f>
        <v>202505</v>
      </c>
      <c r="G54" s="384">
        <v>45685</v>
      </c>
      <c r="H54" s="289" t="s">
        <v>386</v>
      </c>
      <c r="I54" s="385" t="s">
        <v>387</v>
      </c>
      <c r="J54" s="385" t="str">
        <f>IF(LEN(VALUE(MID(Errorlog_table[[#This Row],[Description]],FIND(":",Errorlog_table[[#This Row],[Description]])+1,6)))&gt;1,MID(Errorlog_table[[#This Row],[Description]],FIND(":",Errorlog_table[[#This Row],[Description]])+1,6),"")</f>
        <v>108347</v>
      </c>
      <c r="K54" s="289">
        <v>4.0833329999999997</v>
      </c>
      <c r="L54" s="287" t="s">
        <v>92</v>
      </c>
      <c r="M54" s="292">
        <v>53043759</v>
      </c>
      <c r="N54" s="292" t="s">
        <v>388</v>
      </c>
      <c r="O54" s="281" t="str">
        <f t="shared" si="2"/>
        <v>P853207</v>
      </c>
      <c r="P54" s="277">
        <f>LEN(Errorlog_table[[#This Row],[AIR]])</f>
        <v>7</v>
      </c>
      <c r="Q54" cm="1">
        <f t="array" ref="Q54">IF(OR(Errorlog_table[[#This Row],[AIR]]="n/a",Errorlog_table[[#This Row],[Event_code]]="Y"),"n/a",IF(Errorlog_table[[#This Row],[AIR]]="","no AIR",_xlfn.XLOOKUP(Errorlog_table[[#This Row],[AIR]],AIR_dump[[#All],[Number]],AIR_dump[[#All],[Type]],"not found",0,1)))</f>
        <v>0</v>
      </c>
      <c r="R54" s="282" t="str" cm="1">
        <f t="array" ref="R54">IF(OR(Errorlog_table[[#This Row],[AIR]]="n/a",Errorlog_table[[#This Row],[Event_code]]="Y"),"n/a",IF(Errorlog_table[[#This Row],[AIR]]="","no AIR",_xlfn.XLOOKUP(Errorlog_table[[#This Row],[AIR]],AIR_dump[[#All],[Number]],AIR_dump[[#All],[Summary]],"not found",0,1)))</f>
        <v xml:space="preserve">EXE GY86 Intel - Lot abort due to  MX-000 and WDMA dying unexpectedly. </v>
      </c>
      <c r="S54" s="347" t="str" cm="1">
        <f t="array" ref="S54">_xlfn.XLOOKUP(Errorlog_table[[#This Row],[AIR]],AIR_dump[[#All],[Number]],AIR_dump[[#All],[Close notes]])</f>
        <v>containment do not run asm_collect_all at next occurrence?</v>
      </c>
      <c r="T54" s="372">
        <f>Errorlog_table[[#This Row],[Year_Week_Number]]</f>
        <v>202505</v>
      </c>
      <c r="U54" s="284" t="s">
        <v>230</v>
      </c>
      <c r="V54" s="284" t="s">
        <v>230</v>
      </c>
      <c r="W54" s="285" t="str">
        <f>Errorlog_table[[#This Row],[System]]</f>
        <v>GY86</v>
      </c>
      <c r="X54" s="366" t="str">
        <f>Errorlog_table[[#This Row],[link]]</f>
        <v>P853207</v>
      </c>
      <c r="Y54" s="277" t="str">
        <f>Errorlog_table[[#This Row],[Root_Error]]</f>
        <v>MX-0000</v>
      </c>
      <c r="Z54" s="277" t="str">
        <f>Errorlog_table[[#This Row],[Description]]</f>
        <v xml:space="preserve">EpmID:108347| SCN - Lot abort for mxex not init | MX-0000 | </v>
      </c>
      <c r="AA54" s="277" t="str">
        <f t="shared" si="1"/>
        <v>Short down</v>
      </c>
      <c r="AB54" s="278">
        <f ca="1">_xlfn.ISOWEEKNUM(Errorlog_table[[#This Row],[Date]])+52*(Errorlog_table[[#This Row],[Year]]-YEAR(DATE(YEAR(TODAY()-WEEKDAY(TODAY()-1)+4),1,1)-MOD((DATE(YEAR(TODAY()-WEEKDAY(TODAY()-1)+4),1,1)-2),7)+(7*IF(MOD((DATE(YEAR(TODAY()-WEEKDAY(TODAY()-1)+4),1,1)-2),7)&gt;3,1,0))+7) )-_xlfn.ISOWEEKNUM(NOW())</f>
        <v>-32</v>
      </c>
      <c r="AC54" s="277">
        <f>COUNTIF(MTBF_pareto[AIR],Errorlog_table[[#This Row],[AIR]])</f>
        <v>0</v>
      </c>
      <c r="AD54" s="305" t="str">
        <f>TEXT(Errorlog_table[[#This Row],[Date]],"yyyy-mm-dd")&amp;"_"&amp;TEXT(Errorlog_table[[#This Row],[SDT_Timestamp]],"HH:MM:SS")&amp;"_"&amp;Errorlog_table[[#This Row],[System]]</f>
        <v>2025-01-28_10:54:00_GY86</v>
      </c>
      <c r="AE54" s="287" t="str">
        <f>Errorlog_table[[#This Row],[P_Hits]]</f>
        <v>Y</v>
      </c>
      <c r="AF54" s="287">
        <v>0</v>
      </c>
    </row>
    <row r="55" spans="1:32" ht="15">
      <c r="A55" s="289" t="s">
        <v>4</v>
      </c>
      <c r="B55" s="293" t="str">
        <f>VLOOKUP(A55,'5000_Fleet'!A:D,2,FALSE)</f>
        <v>Intel</v>
      </c>
      <c r="C55" s="277" t="s">
        <v>363</v>
      </c>
      <c r="D55" s="277">
        <f>YEAR(DATE(YEAR(Errorlog_table[[#This Row],[Date]]-WEEKDAY(Errorlog_table[[#This Row],[Date]]-1)+4),1,1)-MOD((DATE(YEAR(Errorlog_table[[#This Row],[Date]]-WEEKDAY(Errorlog_table[[#This Row],[Date]]-1)+4),1,1)-2),7)+(7*IF(MOD((DATE(YEAR(Errorlog_table[[#This Row],[Date]]-WEEKDAY(Errorlog_table[[#This Row],[Date]]-1)+4),1,1)-2),7)&gt;3,1,0))+7)</f>
        <v>2025</v>
      </c>
      <c r="E55" s="278">
        <f>VALUE(TEXT(_xlfn.ISOWEEKNUM(Errorlog_table[[#This Row],[Date]]),"00"))</f>
        <v>5</v>
      </c>
      <c r="F55" s="410">
        <f>VALUE((Errorlog_table[[#This Row],[Year]])&amp;TEXT(Errorlog_table[[#This Row],[Week_Number]],"00"))</f>
        <v>202505</v>
      </c>
      <c r="G55" s="386">
        <v>45686</v>
      </c>
      <c r="H55" s="289" t="s">
        <v>389</v>
      </c>
      <c r="I55" s="366" t="s">
        <v>390</v>
      </c>
      <c r="J55" s="366" t="str">
        <f>IF(LEN(VALUE(MID(Errorlog_table[[#This Row],[Description]],FIND(":",Errorlog_table[[#This Row],[Description]])+1,6)))&gt;1,MID(Errorlog_table[[#This Row],[Description]],FIND(":",Errorlog_table[[#This Row],[Description]])+1,6),"")</f>
        <v>108552</v>
      </c>
      <c r="K55" s="289">
        <v>0.58333299999999999</v>
      </c>
      <c r="L55" s="287" t="s">
        <v>92</v>
      </c>
      <c r="M55" s="289">
        <v>53044466</v>
      </c>
      <c r="N55" s="277" t="s">
        <v>366</v>
      </c>
      <c r="O55" s="281" t="str">
        <f t="shared" si="2"/>
        <v>P852254</v>
      </c>
      <c r="P55" s="277">
        <f>LEN(Errorlog_table[[#This Row],[AIR]])</f>
        <v>7</v>
      </c>
      <c r="Q55" cm="1">
        <f t="array" ref="Q55">IF(OR(Errorlog_table[[#This Row],[AIR]]="n/a",Errorlog_table[[#This Row],[Event_code]]="Y"),"n/a",IF(Errorlog_table[[#This Row],[AIR]]="","no AIR",_xlfn.XLOOKUP(Errorlog_table[[#This Row],[AIR]],AIR_dump[[#All],[Number]],AIR_dump[[#All],[Type]],"not found",0,1)))</f>
        <v>0</v>
      </c>
      <c r="R55" s="282" t="str" cm="1">
        <f t="array" ref="R55">IF(OR(Errorlog_table[[#This Row],[AIR]]="n/a",Errorlog_table[[#This Row],[Event_code]]="Y"),"n/a",IF(Errorlog_table[[#This Row],[AIR]]="","no AIR",_xlfn.XLOOKUP(Errorlog_table[[#This Row],[AIR]],AIR_dump[[#All],[Number]],AIR_dump[[#All],[Summary]],"not found",0,1)))</f>
        <v>RU-465E dp/dt violation during venting</v>
      </c>
      <c r="S55" s="347" t="str" cm="1">
        <f t="array" ref="S55">_xlfn.XLOOKUP(Errorlog_table[[#This Row],[AIR]],AIR_dump[[#All],[Number]],AIR_dump[[#All],[Close notes]])</f>
        <v>RU-465E dp/dt violation during venting</v>
      </c>
      <c r="T55" s="372">
        <f>Errorlog_table[[#This Row],[Year_Week_Number]]</f>
        <v>202505</v>
      </c>
      <c r="U55" s="284" t="s">
        <v>239</v>
      </c>
      <c r="V55" s="284" t="s">
        <v>230</v>
      </c>
      <c r="W55" s="285" t="str">
        <f>Errorlog_table[[#This Row],[System]]</f>
        <v>CR51</v>
      </c>
      <c r="X55" s="366" t="str">
        <f>Errorlog_table[[#This Row],[link]]</f>
        <v>P852254</v>
      </c>
      <c r="Y55" s="277" t="str">
        <f>Errorlog_table[[#This Row],[Root_Error]]</f>
        <v>RU-465E</v>
      </c>
      <c r="Z55" s="277" t="str">
        <f>Errorlog_table[[#This Row],[Description]]</f>
        <v xml:space="preserve">EpmID:108552| SCN - LDLK failed | RU-465E | </v>
      </c>
      <c r="AA55" s="277" t="str">
        <f t="shared" si="1"/>
        <v>Short down</v>
      </c>
      <c r="AB55" s="278">
        <f ca="1">_xlfn.ISOWEEKNUM(Errorlog_table[[#This Row],[Date]])+52*(Errorlog_table[[#This Row],[Year]]-YEAR(DATE(YEAR(TODAY()-WEEKDAY(TODAY()-1)+4),1,1)-MOD((DATE(YEAR(TODAY()-WEEKDAY(TODAY()-1)+4),1,1)-2),7)+(7*IF(MOD((DATE(YEAR(TODAY()-WEEKDAY(TODAY()-1)+4),1,1)-2),7)&gt;3,1,0))+7) )-_xlfn.ISOWEEKNUM(NOW())</f>
        <v>-32</v>
      </c>
      <c r="AC55" s="277">
        <f>COUNTIF(MTBF_pareto[AIR],Errorlog_table[[#This Row],[AIR]])</f>
        <v>0</v>
      </c>
      <c r="AD55" s="306" t="str">
        <f>TEXT(Errorlog_table[[#This Row],[Date]],"yyyy-mm-dd")&amp;"_"&amp;TEXT(Errorlog_table[[#This Row],[SDT_Timestamp]],"HH:MM:SS")&amp;"_"&amp;Errorlog_table[[#This Row],[System]]</f>
        <v>2025-01-29_17:52:00_CR51</v>
      </c>
      <c r="AE55" s="287" t="str">
        <f>Errorlog_table[[#This Row],[P_Hits]]</f>
        <v>N</v>
      </c>
      <c r="AF55" s="287">
        <v>0</v>
      </c>
    </row>
    <row r="56" spans="1:32" ht="15">
      <c r="A56" s="289" t="s">
        <v>7</v>
      </c>
      <c r="B56" s="293" t="str">
        <f>VLOOKUP(A56,'5000_Fleet'!A:D,2,FALSE)</f>
        <v>Intel</v>
      </c>
      <c r="C56" s="277" t="s">
        <v>167</v>
      </c>
      <c r="D56" s="277">
        <f>YEAR(DATE(YEAR(Errorlog_table[[#This Row],[Date]]-WEEKDAY(Errorlog_table[[#This Row],[Date]]-1)+4),1,1)-MOD((DATE(YEAR(Errorlog_table[[#This Row],[Date]]-WEEKDAY(Errorlog_table[[#This Row],[Date]]-1)+4),1,1)-2),7)+(7*IF(MOD((DATE(YEAR(Errorlog_table[[#This Row],[Date]]-WEEKDAY(Errorlog_table[[#This Row],[Date]]-1)+4),1,1)-2),7)&gt;3,1,0))+7)</f>
        <v>2025</v>
      </c>
      <c r="E56" s="278">
        <f>VALUE(TEXT(_xlfn.ISOWEEKNUM(Errorlog_table[[#This Row],[Date]]),"00"))</f>
        <v>5</v>
      </c>
      <c r="F56" s="410">
        <f>VALUE((Errorlog_table[[#This Row],[Year]])&amp;TEXT(Errorlog_table[[#This Row],[Week_Number]],"00"))</f>
        <v>202505</v>
      </c>
      <c r="G56" s="384">
        <v>45686</v>
      </c>
      <c r="H56" s="289" t="s">
        <v>391</v>
      </c>
      <c r="I56" s="366" t="s">
        <v>392</v>
      </c>
      <c r="J56" s="366" t="str">
        <f>IF(LEN(VALUE(MID(Errorlog_table[[#This Row],[Description]],FIND(":",Errorlog_table[[#This Row],[Description]])+1,6)))&gt;1,MID(Errorlog_table[[#This Row],[Description]],FIND(":",Errorlog_table[[#This Row],[Description]])+1,6),"")</f>
        <v>108563</v>
      </c>
      <c r="K56" s="289">
        <v>0.41666700000000001</v>
      </c>
      <c r="L56" s="277" t="s">
        <v>118</v>
      </c>
      <c r="M56" s="289">
        <v>53044425</v>
      </c>
      <c r="N56" s="289"/>
      <c r="O56" s="281">
        <f t="shared" si="2"/>
        <v>53044425</v>
      </c>
      <c r="P56" s="277">
        <f>LEN(Errorlog_table[[#This Row],[AIR]])</f>
        <v>0</v>
      </c>
      <c r="Q56" t="str" cm="1">
        <f t="array" ref="Q56">IF(OR(Errorlog_table[[#This Row],[AIR]]="n/a",Errorlog_table[[#This Row],[Event_code]]="Y"),"n/a",IF(Errorlog_table[[#This Row],[AIR]]="","no AIR",_xlfn.XLOOKUP(Errorlog_table[[#This Row],[AIR]],AIR_dump[[#All],[Number]],AIR_dump[[#All],[Type]],"not found",0,1)))</f>
        <v>no AIR</v>
      </c>
      <c r="R56" s="282" t="s">
        <v>393</v>
      </c>
      <c r="S56" s="347" cm="1">
        <f t="array" ref="S56">_xlfn.XLOOKUP(Errorlog_table[[#This Row],[AIR]],AIR_dump[[#All],[Number]],AIR_dump[[#All],[Close notes]])</f>
        <v>0</v>
      </c>
      <c r="T56" s="372">
        <f>Errorlog_table[[#This Row],[Year_Week_Number]]</f>
        <v>202505</v>
      </c>
      <c r="U56" s="284" t="s">
        <v>230</v>
      </c>
      <c r="V56" s="284" t="s">
        <v>230</v>
      </c>
      <c r="W56" s="285" t="str">
        <f>Errorlog_table[[#This Row],[System]]</f>
        <v>GY86</v>
      </c>
      <c r="X56" s="366">
        <f>Errorlog_table[[#This Row],[link]]</f>
        <v>53044425</v>
      </c>
      <c r="Y56" s="277" t="str">
        <f>Errorlog_table[[#This Row],[Root_Error]]</f>
        <v>WH-3106</v>
      </c>
      <c r="Z56" s="277" t="str">
        <f>Errorlog_table[[#This Row],[Description]]</f>
        <v xml:space="preserve">EpmID:108563| SCN - lot abort due to WH | WH-3106 | </v>
      </c>
      <c r="AA56" s="277" t="str">
        <f t="shared" si="1"/>
        <v>Short down</v>
      </c>
      <c r="AB56" s="278">
        <f ca="1">_xlfn.ISOWEEKNUM(Errorlog_table[[#This Row],[Date]])+52*(Errorlog_table[[#This Row],[Year]]-YEAR(DATE(YEAR(TODAY()-WEEKDAY(TODAY()-1)+4),1,1)-MOD((DATE(YEAR(TODAY()-WEEKDAY(TODAY()-1)+4),1,1)-2),7)+(7*IF(MOD((DATE(YEAR(TODAY()-WEEKDAY(TODAY()-1)+4),1,1)-2),7)&gt;3,1,0))+7) )-_xlfn.ISOWEEKNUM(NOW())</f>
        <v>-32</v>
      </c>
      <c r="AC56" s="277">
        <f>COUNTIF(MTBF_pareto[AIR],Errorlog_table[[#This Row],[AIR]])</f>
        <v>0</v>
      </c>
      <c r="AD56" s="306" t="str">
        <f>TEXT(Errorlog_table[[#This Row],[Date]],"yyyy-mm-dd")&amp;"_"&amp;TEXT(Errorlog_table[[#This Row],[SDT_Timestamp]],"HH:MM:SS")&amp;"_"&amp;Errorlog_table[[#This Row],[System]]</f>
        <v>2025-01-29_15:44:00_GY86</v>
      </c>
      <c r="AE56" s="287" t="str">
        <f>Errorlog_table[[#This Row],[P_Hits]]</f>
        <v>Y</v>
      </c>
      <c r="AF56" s="287">
        <v>0</v>
      </c>
    </row>
    <row r="57" spans="1:32" ht="28.5">
      <c r="A57" s="289" t="s">
        <v>7</v>
      </c>
      <c r="B57" s="293" t="str">
        <f>VLOOKUP(A57,'5000_Fleet'!A:D,2,FALSE)</f>
        <v>Intel</v>
      </c>
      <c r="C57" s="277" t="s">
        <v>394</v>
      </c>
      <c r="D57" s="277">
        <f>YEAR(DATE(YEAR(Errorlog_table[[#This Row],[Date]]-WEEKDAY(Errorlog_table[[#This Row],[Date]]-1)+4),1,1)-MOD((DATE(YEAR(Errorlog_table[[#This Row],[Date]]-WEEKDAY(Errorlog_table[[#This Row],[Date]]-1)+4),1,1)-2),7)+(7*IF(MOD((DATE(YEAR(Errorlog_table[[#This Row],[Date]]-WEEKDAY(Errorlog_table[[#This Row],[Date]]-1)+4),1,1)-2),7)&gt;3,1,0))+7)</f>
        <v>2025</v>
      </c>
      <c r="E57" s="278">
        <f>VALUE(TEXT(_xlfn.ISOWEEKNUM(Errorlog_table[[#This Row],[Date]]),"00"))</f>
        <v>5</v>
      </c>
      <c r="F57" s="410">
        <f>VALUE((Errorlog_table[[#This Row],[Year]])&amp;TEXT(Errorlog_table[[#This Row],[Week_Number]],"00"))</f>
        <v>202505</v>
      </c>
      <c r="G57" s="384">
        <v>45687</v>
      </c>
      <c r="H57" s="289" t="s">
        <v>395</v>
      </c>
      <c r="I57" s="366" t="s">
        <v>396</v>
      </c>
      <c r="J57" s="366" t="str">
        <f>IF(LEN(VALUE(MID(Errorlog_table[[#This Row],[Description]],FIND(":",Errorlog_table[[#This Row],[Description]])+1,6)))&gt;1,MID(Errorlog_table[[#This Row],[Description]],FIND(":",Errorlog_table[[#This Row],[Description]])+1,6),"")</f>
        <v>108561</v>
      </c>
      <c r="K57" s="289">
        <v>3.65</v>
      </c>
      <c r="L57" s="277" t="s">
        <v>10</v>
      </c>
      <c r="M57" s="289">
        <v>53044836</v>
      </c>
      <c r="N57" s="292" t="s">
        <v>397</v>
      </c>
      <c r="O57" s="281" t="str">
        <f t="shared" si="2"/>
        <v>P838726</v>
      </c>
      <c r="P57" s="277">
        <f>LEN(Errorlog_table[[#This Row],[AIR]])</f>
        <v>7</v>
      </c>
      <c r="Q57" t="str" cm="1">
        <f t="array" ref="Q57">IF(OR(Errorlog_table[[#This Row],[AIR]]="n/a",Errorlog_table[[#This Row],[Event_code]]="Y"),"n/a",IF(Errorlog_table[[#This Row],[AIR]]="","no AIR",_xlfn.XLOOKUP(Errorlog_table[[#This Row],[AIR]],AIR_dump[[#All],[Number]],AIR_dump[[#All],[Type]],"not found",0,1)))</f>
        <v>PR</v>
      </c>
      <c r="R57" s="286" t="s">
        <v>398</v>
      </c>
      <c r="S57" s="347" t="str" cm="1">
        <f t="array" ref="S57">_xlfn.XLOOKUP(Errorlog_table[[#This Row],[AIR]],AIR_dump[[#All],[Number]],AIR_dump[[#All],[Close notes]])</f>
        <v>MID reject</v>
      </c>
      <c r="T57" s="372">
        <f>Errorlog_table[[#This Row],[Year_Week_Number]]</f>
        <v>202505</v>
      </c>
      <c r="U57" s="284" t="s">
        <v>230</v>
      </c>
      <c r="V57" s="284" t="s">
        <v>230</v>
      </c>
      <c r="W57" s="285" t="str">
        <f>Errorlog_table[[#This Row],[System]]</f>
        <v>GY86</v>
      </c>
      <c r="X57" s="366" t="str">
        <f>Errorlog_table[[#This Row],[link]]</f>
        <v>P838726</v>
      </c>
      <c r="Y57" s="277" t="str">
        <f>Errorlog_table[[#This Row],[Root_Error]]</f>
        <v>CG-A34D</v>
      </c>
      <c r="Z57" s="277" t="str">
        <f>Errorlog_table[[#This Row],[Description]]</f>
        <v xml:space="preserve">EpmID:108561| SCN - Lot abort for CG-A34D | CG-A34D | </v>
      </c>
      <c r="AA57" s="277" t="str">
        <f t="shared" si="1"/>
        <v>Short down</v>
      </c>
      <c r="AB57" s="278">
        <f ca="1">_xlfn.ISOWEEKNUM(Errorlog_table[[#This Row],[Date]])+52*(Errorlog_table[[#This Row],[Year]]-YEAR(DATE(YEAR(TODAY()-WEEKDAY(TODAY()-1)+4),1,1)-MOD((DATE(YEAR(TODAY()-WEEKDAY(TODAY()-1)+4),1,1)-2),7)+(7*IF(MOD((DATE(YEAR(TODAY()-WEEKDAY(TODAY()-1)+4),1,1)-2),7)&gt;3,1,0))+7) )-_xlfn.ISOWEEKNUM(NOW())</f>
        <v>-32</v>
      </c>
      <c r="AC57" s="277">
        <f>COUNTIF(MTBF_pareto[AIR],Errorlog_table[[#This Row],[AIR]])</f>
        <v>0</v>
      </c>
      <c r="AD57" s="306" t="str">
        <f>TEXT(Errorlog_table[[#This Row],[Date]],"yyyy-mm-dd")&amp;"_"&amp;TEXT(Errorlog_table[[#This Row],[SDT_Timestamp]],"HH:MM:SS")&amp;"_"&amp;Errorlog_table[[#This Row],[System]]</f>
        <v>2025-01-30_07:33:00_GY86</v>
      </c>
      <c r="AE57" s="287" t="str">
        <f>Errorlog_table[[#This Row],[P_Hits]]</f>
        <v>Y</v>
      </c>
      <c r="AF57" s="287">
        <v>0</v>
      </c>
    </row>
    <row r="58" spans="1:32" ht="15">
      <c r="A58" s="287" t="s">
        <v>4</v>
      </c>
      <c r="B58" s="293" t="s">
        <v>5</v>
      </c>
      <c r="C58" s="277" t="s">
        <v>399</v>
      </c>
      <c r="D58" s="277">
        <f>YEAR(DATE(YEAR(Errorlog_table[[#This Row],[Date]]-WEEKDAY(Errorlog_table[[#This Row],[Date]]-1)+4),1,1)-MOD((DATE(YEAR(Errorlog_table[[#This Row],[Date]]-WEEKDAY(Errorlog_table[[#This Row],[Date]]-1)+4),1,1)-2),7)+(7*IF(MOD((DATE(YEAR(Errorlog_table[[#This Row],[Date]]-WEEKDAY(Errorlog_table[[#This Row],[Date]]-1)+4),1,1)-2),7)&gt;3,1,0))+7)</f>
        <v>2025</v>
      </c>
      <c r="E58" s="278">
        <f>VALUE(TEXT(_xlfn.ISOWEEKNUM(Errorlog_table[[#This Row],[Date]]),"00"))</f>
        <v>5</v>
      </c>
      <c r="F58" s="410">
        <f>VALUE((Errorlog_table[[#This Row],[Year]])&amp;TEXT(Errorlog_table[[#This Row],[Week_Number]],"00"))</f>
        <v>202505</v>
      </c>
      <c r="G58" s="384">
        <v>45687</v>
      </c>
      <c r="H58" s="289" t="s">
        <v>400</v>
      </c>
      <c r="I58" s="292" t="s">
        <v>401</v>
      </c>
      <c r="J58" s="292" t="str">
        <f>IF(LEN(VALUE(MID(Errorlog_table[[#This Row],[Description]],FIND(":",Errorlog_table[[#This Row],[Description]])+1,6)))&gt;1,MID(Errorlog_table[[#This Row],[Description]],FIND(":",Errorlog_table[[#This Row],[Description]])+1,6),"")</f>
        <v>108607</v>
      </c>
      <c r="K58" s="289">
        <v>1.016667</v>
      </c>
      <c r="L58" s="287" t="s">
        <v>92</v>
      </c>
      <c r="M58" s="289">
        <v>53045135</v>
      </c>
      <c r="N58" s="289" t="s">
        <v>402</v>
      </c>
      <c r="O58" s="281" t="str">
        <f t="shared" si="2"/>
        <v>P823264</v>
      </c>
      <c r="P58" s="277">
        <f>LEN(Errorlog_table[[#This Row],[AIR]])</f>
        <v>7</v>
      </c>
      <c r="Q58" cm="1">
        <f t="array" ref="Q58">IF(OR(Errorlog_table[[#This Row],[AIR]]="n/a",Errorlog_table[[#This Row],[Event_code]]="Y"),"n/a",IF(Errorlog_table[[#This Row],[AIR]]="","no AIR",_xlfn.XLOOKUP(Errorlog_table[[#This Row],[AIR]],AIR_dump[[#All],[Number]],AIR_dump[[#All],[Type]],"not found",0,1)))</f>
        <v>0</v>
      </c>
      <c r="R58" s="282" t="str" cm="1">
        <f t="array" ref="R58">IF(OR(Errorlog_table[[#This Row],[AIR]]="n/a",Errorlog_table[[#This Row],[Event_code]]="Y"),"n/a",IF(Errorlog_table[[#This Row],[AIR]]="","no AIR",_xlfn.XLOOKUP(Errorlog_table[[#This Row],[AIR]],AIR_dump[[#All],[Number]],AIR_dump[[#All],[Summary]],"not found",0,1)))</f>
        <v>Reticle Inventory fails due to 2DBCR cannot read barcode</v>
      </c>
      <c r="S58" s="347" t="str" cm="1">
        <f t="array" ref="S58">_xlfn.XLOOKUP(Errorlog_table[[#This Row],[AIR]],AIR_dump[[#All],[Number]],AIR_dump[[#All],[Close notes]])</f>
        <v>Working on diagnostic patch to continue RCA</v>
      </c>
      <c r="T58" s="372">
        <f>Errorlog_table[[#This Row],[Year_Week_Number]]</f>
        <v>202505</v>
      </c>
      <c r="U58" s="284" t="s">
        <v>239</v>
      </c>
      <c r="V58" s="284" t="s">
        <v>230</v>
      </c>
      <c r="W58" s="285" t="str">
        <f>Errorlog_table[[#This Row],[System]]</f>
        <v>CR51</v>
      </c>
      <c r="X58" s="366" t="str">
        <f>Errorlog_table[[#This Row],[link]]</f>
        <v>P823264</v>
      </c>
      <c r="Y58" s="277" t="str">
        <f>Errorlog_table[[#This Row],[Root_Error]]</f>
        <v>RH-C177</v>
      </c>
      <c r="Z58" s="277" t="str">
        <f>Errorlog_table[[#This Row],[Description]]</f>
        <v>EpmID:108607| SCN - 2DBC Read Fail | RH-C177 | Barcode reader fail</v>
      </c>
      <c r="AA58" s="277" t="str">
        <f t="shared" si="1"/>
        <v>Short down</v>
      </c>
      <c r="AB58" s="278">
        <f ca="1">_xlfn.ISOWEEKNUM(Errorlog_table[[#This Row],[Date]])+52*(Errorlog_table[[#This Row],[Year]]-YEAR(DATE(YEAR(TODAY()-WEEKDAY(TODAY()-1)+4),1,1)-MOD((DATE(YEAR(TODAY()-WEEKDAY(TODAY()-1)+4),1,1)-2),7)+(7*IF(MOD((DATE(YEAR(TODAY()-WEEKDAY(TODAY()-1)+4),1,1)-2),7)&gt;3,1,0))+7) )-_xlfn.ISOWEEKNUM(NOW())</f>
        <v>-32</v>
      </c>
      <c r="AC58" s="277"/>
      <c r="AD58" s="306" t="str">
        <f>TEXT(Errorlog_table[[#This Row],[Date]],"yyyy-mm-dd")&amp;"_"&amp;TEXT(Errorlog_table[[#This Row],[SDT_Timestamp]],"HH:MM:SS")&amp;"_"&amp;Errorlog_table[[#This Row],[System]]</f>
        <v>2025-01-30_17:15:00_CR51</v>
      </c>
      <c r="AE58" s="287" t="str">
        <f>Errorlog_table[[#This Row],[P_Hits]]</f>
        <v>N</v>
      </c>
      <c r="AF58" s="287">
        <v>0</v>
      </c>
    </row>
    <row r="59" spans="1:32" ht="15">
      <c r="A59" s="289" t="s">
        <v>4</v>
      </c>
      <c r="B59" s="293" t="str">
        <f>VLOOKUP(A59,'5000_Fleet'!A:D,2,FALSE)</f>
        <v>Intel</v>
      </c>
      <c r="C59" s="293" t="s">
        <v>403</v>
      </c>
      <c r="D59" s="293">
        <f>YEAR(DATE(YEAR(Errorlog_table[[#This Row],[Date]]-WEEKDAY(Errorlog_table[[#This Row],[Date]]-1)+4),1,1)-MOD((DATE(YEAR(Errorlog_table[[#This Row],[Date]]-WEEKDAY(Errorlog_table[[#This Row],[Date]]-1)+4),1,1)-2),7)+(7*IF(MOD((DATE(YEAR(Errorlog_table[[#This Row],[Date]]-WEEKDAY(Errorlog_table[[#This Row],[Date]]-1)+4),1,1)-2),7)&gt;3,1,0))+7)</f>
        <v>2025</v>
      </c>
      <c r="E59" s="278">
        <f>VALUE(TEXT(_xlfn.ISOWEEKNUM(Errorlog_table[[#This Row],[Date]]),"00"))</f>
        <v>5</v>
      </c>
      <c r="F59" s="410">
        <f>VALUE((Errorlog_table[[#This Row],[Year]])&amp;TEXT(Errorlog_table[[#This Row],[Week_Number]],"00"))</f>
        <v>202505</v>
      </c>
      <c r="G59" s="387">
        <v>45689</v>
      </c>
      <c r="H59" s="289" t="s">
        <v>404</v>
      </c>
      <c r="I59" s="347" t="s">
        <v>405</v>
      </c>
      <c r="J59" s="347" t="str">
        <f>IF(LEN(VALUE(MID(Errorlog_table[[#This Row],[Description]],FIND(":",Errorlog_table[[#This Row],[Description]])+1,6)))&gt;1,MID(Errorlog_table[[#This Row],[Description]],FIND(":",Errorlog_table[[#This Row],[Description]])+1,6),"")</f>
        <v>108695</v>
      </c>
      <c r="K59" s="289">
        <v>8.6333330000000004</v>
      </c>
      <c r="L59" s="287" t="s">
        <v>92</v>
      </c>
      <c r="M59" s="289">
        <v>53046271</v>
      </c>
      <c r="N59" s="289"/>
      <c r="O59" s="281">
        <f t="shared" si="2"/>
        <v>53046271</v>
      </c>
      <c r="P59" s="277">
        <f>LEN(Errorlog_table[[#This Row],[AIR]])</f>
        <v>0</v>
      </c>
      <c r="Q59" t="str" cm="1">
        <f t="array" ref="Q59">IF(OR(Errorlog_table[[#This Row],[AIR]]="n/a",Errorlog_table[[#This Row],[Event_code]]="Y"),"n/a",IF(Errorlog_table[[#This Row],[AIR]]="","no AIR",_xlfn.XLOOKUP(Errorlog_table[[#This Row],[AIR]],AIR_dump[[#All],[Number]],AIR_dump[[#All],[Type]],"not found",0,1)))</f>
        <v>no AIR</v>
      </c>
      <c r="R59" s="283" t="str" cm="1">
        <f t="array" ref="R59">IF(OR(Errorlog_table[[#This Row],[AIR]]="n/a",Errorlog_table[[#This Row],[Event_code]]="Y"),"n/a",IF(Errorlog_table[[#This Row],[AIR]]="","no AIR",_xlfn.XLOOKUP(Errorlog_table[[#This Row],[AIR]],AIR_dump[[#All],[Number]],AIR_dump[[#All],[Summary]],"not found",0,1)))</f>
        <v>no AIR</v>
      </c>
      <c r="S59" s="347" cm="1">
        <f t="array" ref="S59">_xlfn.XLOOKUP(Errorlog_table[[#This Row],[AIR]],AIR_dump[[#All],[Number]],AIR_dump[[#All],[Close notes]])</f>
        <v>0</v>
      </c>
      <c r="T59" s="372">
        <f>Errorlog_table[[#This Row],[Year_Week_Number]]</f>
        <v>202505</v>
      </c>
      <c r="U59" s="284" t="s">
        <v>239</v>
      </c>
      <c r="V59" s="284" t="s">
        <v>230</v>
      </c>
      <c r="W59" s="307" t="str">
        <f>Errorlog_table[[#This Row],[System]]</f>
        <v>CR51</v>
      </c>
      <c r="X59" s="347">
        <f>Errorlog_table[[#This Row],[link]]</f>
        <v>53046271</v>
      </c>
      <c r="Y59" s="277" t="str">
        <f>Errorlog_table[[#This Row],[Root_Error]]</f>
        <v>RBI</v>
      </c>
      <c r="Z59" s="293" t="str">
        <f>Errorlog_table[[#This Row],[Description]]</f>
        <v xml:space="preserve">EpmID:108695| SCN - Reticle Failed RBI | ND | </v>
      </c>
      <c r="AA59" s="293" t="str">
        <f t="shared" si="1"/>
        <v>Short down</v>
      </c>
      <c r="AB59" s="315">
        <f ca="1">_xlfn.ISOWEEKNUM(Errorlog_table[[#This Row],[Date]])+52*(Errorlog_table[[#This Row],[Year]]-YEAR(DATE(YEAR(TODAY()-WEEKDAY(TODAY()-1)+4),1,1)-MOD((DATE(YEAR(TODAY()-WEEKDAY(TODAY()-1)+4),1,1)-2),7)+(7*IF(MOD((DATE(YEAR(TODAY()-WEEKDAY(TODAY()-1)+4),1,1)-2),7)&gt;3,1,0))+7) )-_xlfn.ISOWEEKNUM(NOW())</f>
        <v>-32</v>
      </c>
      <c r="AC59" s="293">
        <f>COUNTIF(MTBF_pareto[AIR],Errorlog_table[[#This Row],[AIR]])</f>
        <v>0</v>
      </c>
      <c r="AD59" s="306" t="str">
        <f>TEXT(Errorlog_table[[#This Row],[Date]],"yyyy-mm-dd")&amp;"_"&amp;TEXT(Errorlog_table[[#This Row],[SDT_Timestamp]],"HH:MM:SS")&amp;"_"&amp;Errorlog_table[[#This Row],[System]]</f>
        <v>2025-02-01_19:55:00_CR51</v>
      </c>
      <c r="AE59" s="287" t="str">
        <f>Errorlog_table[[#This Row],[P_Hits]]</f>
        <v>N</v>
      </c>
      <c r="AF59" s="287">
        <v>0</v>
      </c>
    </row>
    <row r="60" spans="1:32" ht="28.5">
      <c r="A60" s="388" t="s">
        <v>7</v>
      </c>
      <c r="B60" s="277" t="str">
        <f>VLOOKUP(A60,'5000_Fleet'!A:D,2,FALSE)</f>
        <v>Intel</v>
      </c>
      <c r="C60" s="293" t="s">
        <v>294</v>
      </c>
      <c r="D60" s="293">
        <f>YEAR(DATE(YEAR(Errorlog_table[[#This Row],[Date]]-WEEKDAY(Errorlog_table[[#This Row],[Date]]-1)+4),1,1)-MOD((DATE(YEAR(Errorlog_table[[#This Row],[Date]]-WEEKDAY(Errorlog_table[[#This Row],[Date]]-1)+4),1,1)-2),7)+(7*IF(MOD((DATE(YEAR(Errorlog_table[[#This Row],[Date]]-WEEKDAY(Errorlog_table[[#This Row],[Date]]-1)+4),1,1)-2),7)&gt;3,1,0))+7)</f>
        <v>2025</v>
      </c>
      <c r="E60" s="278">
        <f>VALUE(TEXT(_xlfn.ISOWEEKNUM(Errorlog_table[[#This Row],[Date]]),"00"))</f>
        <v>5</v>
      </c>
      <c r="F60" s="410">
        <f>VALUE((Errorlog_table[[#This Row],[Year]])&amp;TEXT(Errorlog_table[[#This Row],[Week_Number]],"00"))</f>
        <v>202505</v>
      </c>
      <c r="G60" s="389">
        <v>45689</v>
      </c>
      <c r="H60" s="289" t="s">
        <v>406</v>
      </c>
      <c r="I60" s="385" t="s">
        <v>407</v>
      </c>
      <c r="J60" s="385" t="str">
        <f>IF(LEN(VALUE(MID(Errorlog_table[[#This Row],[Description]],FIND(":",Errorlog_table[[#This Row],[Description]])+1,6)))&gt;1,MID(Errorlog_table[[#This Row],[Description]],FIND(":",Errorlog_table[[#This Row],[Description]])+1,6),"")</f>
        <v>108719</v>
      </c>
      <c r="K60" s="289">
        <v>0.26666699999999999</v>
      </c>
      <c r="L60" s="287" t="s">
        <v>92</v>
      </c>
      <c r="M60" s="289">
        <v>53046103</v>
      </c>
      <c r="N60" s="287" t="s">
        <v>408</v>
      </c>
      <c r="O60" s="281" t="str">
        <f t="shared" si="2"/>
        <v>P856575</v>
      </c>
      <c r="P60" s="277">
        <f>LEN(Errorlog_table[[#This Row],[AIR]])</f>
        <v>7</v>
      </c>
      <c r="Q60" cm="1">
        <f t="array" ref="Q60">IF(OR(Errorlog_table[[#This Row],[AIR]]="n/a",Errorlog_table[[#This Row],[Event_code]]="Y"),"n/a",IF(Errorlog_table[[#This Row],[AIR]]="","no AIR",_xlfn.XLOOKUP(Errorlog_table[[#This Row],[AIR]],AIR_dump[[#All],[Number]],AIR_dump[[#All],[Type]],"not found",0,1)))</f>
        <v>0</v>
      </c>
      <c r="R60" s="283" t="str" cm="1">
        <f t="array" ref="R60">IF(OR(Errorlog_table[[#This Row],[AIR]]="n/a",Errorlog_table[[#This Row],[Event_code]]="Y"),"n/a",IF(Errorlog_table[[#This Row],[AIR]]="","no AIR",_xlfn.XLOOKUP(Errorlog_table[[#This Row],[AIR]],AIR_dump[[#All],[Number]],AIR_dump[[#All],[Summary]],"not found",0,1)))</f>
        <v>Loss of BFSR communication triggered a false water leak alarm which tripped SH042/059/087</v>
      </c>
      <c r="S60" s="347" cm="1">
        <f t="array" ref="S60">_xlfn.XLOOKUP(Errorlog_table[[#This Row],[AIR]],AIR_dump[[#All],[Number]],AIR_dump[[#All],[Close notes]])</f>
        <v>25.17</v>
      </c>
      <c r="T60" s="372">
        <f>Errorlog_table[[#This Row],[Year_Week_Number]]</f>
        <v>202505</v>
      </c>
      <c r="U60" s="284" t="s">
        <v>230</v>
      </c>
      <c r="V60" s="284" t="s">
        <v>230</v>
      </c>
      <c r="W60" s="307" t="str">
        <f>Errorlog_table[[#This Row],[System]]</f>
        <v>GY86</v>
      </c>
      <c r="X60" s="347" t="str">
        <f>Errorlog_table[[#This Row],[link]]</f>
        <v>P856575</v>
      </c>
      <c r="Y60" s="277" t="str">
        <f>Errorlog_table[[#This Row],[Root_Error]]</f>
        <v>BP-3900</v>
      </c>
      <c r="Z60" s="293" t="str">
        <f>Errorlog_table[[#This Row],[Description]]</f>
        <v>EpmID:108719| SCN - Lot Abort BFSR Issue | BP-3900 | NotSet</v>
      </c>
      <c r="AA60" s="293" t="str">
        <f t="shared" si="1"/>
        <v>Short down</v>
      </c>
      <c r="AB60" s="315">
        <f ca="1">_xlfn.ISOWEEKNUM(Errorlog_table[[#This Row],[Date]])+52*(Errorlog_table[[#This Row],[Year]]-YEAR(DATE(YEAR(TODAY()-WEEKDAY(TODAY()-1)+4),1,1)-MOD((DATE(YEAR(TODAY()-WEEKDAY(TODAY()-1)+4),1,1)-2),7)+(7*IF(MOD((DATE(YEAR(TODAY()-WEEKDAY(TODAY()-1)+4),1,1)-2),7)&gt;3,1,0))+7) )-_xlfn.ISOWEEKNUM(NOW())</f>
        <v>-32</v>
      </c>
      <c r="AC60" s="293">
        <f>COUNTIF(MTBF_pareto[AIR],Errorlog_table[[#This Row],[AIR]])</f>
        <v>0</v>
      </c>
      <c r="AD60" s="306" t="str">
        <f>TEXT(Errorlog_table[[#This Row],[Date]],"yyyy-mm-dd")&amp;"_"&amp;TEXT(Errorlog_table[[#This Row],[SDT_Timestamp]],"HH:MM:SS")&amp;"_"&amp;Errorlog_table[[#This Row],[System]]</f>
        <v>2025-02-01_20:41:00_GY86</v>
      </c>
      <c r="AE60" s="287" t="str">
        <f>Errorlog_table[[#This Row],[P_Hits]]</f>
        <v>Y</v>
      </c>
      <c r="AF60" s="287">
        <v>0</v>
      </c>
    </row>
    <row r="61" spans="1:32" s="309" customFormat="1" ht="24" customHeight="1">
      <c r="A61" s="390" t="s">
        <v>4</v>
      </c>
      <c r="B61" s="308" t="s">
        <v>5</v>
      </c>
      <c r="C61" s="308" t="s">
        <v>409</v>
      </c>
      <c r="D61" s="308">
        <f>YEAR(DATE(YEAR(Errorlog_table[[#This Row],[Date]]-WEEKDAY(Errorlog_table[[#This Row],[Date]]-1)+4),1,1)-MOD((DATE(YEAR(Errorlog_table[[#This Row],[Date]]-WEEKDAY(Errorlog_table[[#This Row],[Date]]-1)+4),1,1)-2),7)+(7*IF(MOD((DATE(YEAR(Errorlog_table[[#This Row],[Date]]-WEEKDAY(Errorlog_table[[#This Row],[Date]]-1)+4),1,1)-2),7)&gt;3,1,0))+7)</f>
        <v>2025</v>
      </c>
      <c r="E61" s="278">
        <f>VALUE(TEXT(_xlfn.ISOWEEKNUM(Errorlog_table[[#This Row],[Date]]),"00"))</f>
        <v>5</v>
      </c>
      <c r="F61" s="410">
        <f>VALUE((Errorlog_table[[#This Row],[Year]])&amp;TEXT(Errorlog_table[[#This Row],[Week_Number]],"00"))</f>
        <v>202505</v>
      </c>
      <c r="G61" s="391">
        <v>45690</v>
      </c>
      <c r="H61" s="309" t="s">
        <v>410</v>
      </c>
      <c r="I61" s="309" t="s">
        <v>411</v>
      </c>
      <c r="J61" s="309" t="str">
        <f>IF(LEN(VALUE(MID(Errorlog_table[[#This Row],[Description]],FIND(":",Errorlog_table[[#This Row],[Description]])+1,6)))&gt;1,MID(Errorlog_table[[#This Row],[Description]],FIND(":",Errorlog_table[[#This Row],[Description]])+1,6),"")</f>
        <v>108699</v>
      </c>
      <c r="K61" s="309">
        <v>5.4611109999999998</v>
      </c>
      <c r="L61" s="308" t="s">
        <v>234</v>
      </c>
      <c r="M61" s="277">
        <v>53046894</v>
      </c>
      <c r="N61" s="277"/>
      <c r="O61" s="281">
        <f t="shared" si="2"/>
        <v>53046894</v>
      </c>
      <c r="P61" s="277">
        <f>LEN(Errorlog_table[[#This Row],[AIR]])</f>
        <v>0</v>
      </c>
      <c r="Q61" t="str" cm="1">
        <f t="array" ref="Q61">IF(OR(Errorlog_table[[#This Row],[AIR]]="n/a",Errorlog_table[[#This Row],[Event_code]]="Y"),"n/a",IF(Errorlog_table[[#This Row],[AIR]]="","no AIR",_xlfn.XLOOKUP(Errorlog_table[[#This Row],[AIR]],AIR_dump[[#All],[Number]],AIR_dump[[#All],[Type]],"not found",0,1)))</f>
        <v>no AIR</v>
      </c>
      <c r="R61" s="310" t="s">
        <v>412</v>
      </c>
      <c r="S61" s="347" cm="1">
        <f t="array" ref="S61">_xlfn.XLOOKUP(Errorlog_table[[#This Row],[AIR]],AIR_dump[[#All],[Number]],AIR_dump[[#All],[Close notes]])</f>
        <v>0</v>
      </c>
      <c r="T61" s="372">
        <f>Errorlog_table[[#This Row],[Year_Week_Number]]</f>
        <v>202505</v>
      </c>
      <c r="U61" s="284" t="s">
        <v>230</v>
      </c>
      <c r="V61" s="284" t="s">
        <v>230</v>
      </c>
      <c r="W61" s="311" t="str">
        <f>Errorlog_table[[#This Row],[System]]</f>
        <v>CR51</v>
      </c>
      <c r="X61" s="392">
        <f>Errorlog_table[[#This Row],[link]]</f>
        <v>53046894</v>
      </c>
      <c r="Y61" s="277" t="str">
        <f>Errorlog_table[[#This Row],[Root_Error]]</f>
        <v>LAB-002B</v>
      </c>
      <c r="Z61" s="308" t="str">
        <f>Errorlog_table[[#This Row],[Description]]</f>
        <v>EpmID:108699| SRC - Lot abort for PA1 Error | LAB-002B |</v>
      </c>
      <c r="AA61" s="308" t="str">
        <f t="shared" si="1"/>
        <v>Short down</v>
      </c>
      <c r="AB61" s="336">
        <f ca="1">_xlfn.ISOWEEKNUM(Errorlog_table[[#This Row],[Date]])+52*(Errorlog_table[[#This Row],[Year]]-YEAR(DATE(YEAR(TODAY()-WEEKDAY(TODAY()-1)+4),1,1)-MOD((DATE(YEAR(TODAY()-WEEKDAY(TODAY()-1)+4),1,1)-2),7)+(7*IF(MOD((DATE(YEAR(TODAY()-WEEKDAY(TODAY()-1)+4),1,1)-2),7)&gt;3,1,0))+7) )-_xlfn.ISOWEEKNUM(NOW())</f>
        <v>-32</v>
      </c>
      <c r="AC61" s="308">
        <f>COUNTIF(MTBF_pareto[AIR],Errorlog_table[[#This Row],[AIR]])</f>
        <v>0</v>
      </c>
      <c r="AD61" s="312" t="str">
        <f>TEXT(Errorlog_table[[#This Row],[Date]],"yyyy-mm-dd")&amp;"_"&amp;TEXT(Errorlog_table[[#This Row],[SDT_Timestamp]],"HH:MM:SS")&amp;"_"&amp;Errorlog_table[[#This Row],[System]]</f>
        <v>2025-02-02_21:00:00_CR51</v>
      </c>
      <c r="AE61" s="287" t="str">
        <f>Errorlog_table[[#This Row],[P_Hits]]</f>
        <v>Y</v>
      </c>
      <c r="AF61" s="287">
        <v>0</v>
      </c>
    </row>
    <row r="62" spans="1:32" ht="15">
      <c r="A62" s="393" t="s">
        <v>7</v>
      </c>
      <c r="B62" s="277" t="str">
        <f>VLOOKUP(A62,'5000_Fleet'!A:D,2,FALSE)</f>
        <v>Intel</v>
      </c>
      <c r="C62" s="313" t="s">
        <v>419</v>
      </c>
      <c r="D62" s="313">
        <f>YEAR(DATE(YEAR(Errorlog_table[[#This Row],[Date]]-WEEKDAY(Errorlog_table[[#This Row],[Date]]-1)+4),1,1)-MOD((DATE(YEAR(Errorlog_table[[#This Row],[Date]]-WEEKDAY(Errorlog_table[[#This Row],[Date]]-1)+4),1,1)-2),7)+(7*IF(MOD((DATE(YEAR(Errorlog_table[[#This Row],[Date]]-WEEKDAY(Errorlog_table[[#This Row],[Date]]-1)+4),1,1)-2),7)&gt;3,1,0))+7)</f>
        <v>2025</v>
      </c>
      <c r="E62" s="278">
        <f>VALUE(TEXT(_xlfn.ISOWEEKNUM(Errorlog_table[[#This Row],[Date]]),"00"))</f>
        <v>6</v>
      </c>
      <c r="F62" s="410">
        <f>VALUE((Errorlog_table[[#This Row],[Year]])&amp;TEXT(Errorlog_table[[#This Row],[Week_Number]],"00"))</f>
        <v>202506</v>
      </c>
      <c r="G62" s="394">
        <v>45691</v>
      </c>
      <c r="H62" s="313" t="s">
        <v>420</v>
      </c>
      <c r="I62" s="313" t="s">
        <v>421</v>
      </c>
      <c r="J62" s="395" t="str">
        <f>IF(LEN(VALUE(MID(Errorlog_table[[#This Row],[Description]],FIND(":",Errorlog_table[[#This Row],[Description]])+1,6)))&gt;1,MID(Errorlog_table[[#This Row],[Description]],FIND(":",Errorlog_table[[#This Row],[Description]])+1,6),"")</f>
        <v>108937</v>
      </c>
      <c r="K62" s="313">
        <v>3.1</v>
      </c>
      <c r="L62" s="313" t="s">
        <v>422</v>
      </c>
      <c r="M62" s="277">
        <v>53047844</v>
      </c>
      <c r="N62" s="277" t="s">
        <v>423</v>
      </c>
      <c r="O62" s="281" t="str">
        <f t="shared" si="2"/>
        <v>P859023</v>
      </c>
      <c r="P62" s="277">
        <f>LEN(Errorlog_table[[#This Row],[AIR]])</f>
        <v>7</v>
      </c>
      <c r="Q62" cm="1">
        <f t="array" ref="Q62">IF(OR(Errorlog_table[[#This Row],[AIR]]="n/a",Errorlog_table[[#This Row],[Event_code]]="Y"),"n/a",IF(Errorlog_table[[#This Row],[AIR]]="","no AIR",_xlfn.XLOOKUP(Errorlog_table[[#This Row],[AIR]],AIR_dump[[#All],[Number]],AIR_dump[[#All],[Type]],"not found",0,1)))</f>
        <v>0</v>
      </c>
      <c r="R62" s="502" t="s">
        <v>424</v>
      </c>
      <c r="S62" s="347" t="str" cm="1">
        <f t="array" ref="S62">_xlfn.XLOOKUP(Errorlog_table[[#This Row],[AIR]],AIR_dump[[#All],[Number]],AIR_dump[[#All],[Close notes]])</f>
        <v>RCA</v>
      </c>
      <c r="T62" s="372">
        <f>Errorlog_table[[#This Row],[Year_Week_Number]]</f>
        <v>202506</v>
      </c>
      <c r="U62" s="284" t="s">
        <v>230</v>
      </c>
      <c r="V62" s="284" t="s">
        <v>230</v>
      </c>
      <c r="W62" s="285" t="str">
        <f>Errorlog_table[[#This Row],[System]]</f>
        <v>GY86</v>
      </c>
      <c r="X62" s="366" t="str">
        <f>Errorlog_table[[#This Row],[link]]</f>
        <v>P859023</v>
      </c>
      <c r="Y62" s="277" t="str">
        <f>Errorlog_table[[#This Row],[Root_Error]]</f>
        <v>OE-2401</v>
      </c>
      <c r="Z62" s="277" t="str">
        <f>Errorlog_table[[#This Row],[Description]]</f>
        <v>EpmID:108937| SCN - Lot Abort PX-B6FC | OE-2401 |</v>
      </c>
      <c r="AA62" s="277" t="str">
        <f t="shared" ref="AA62:AA93" si="3">IF(K62&gt;=12,"XLD","Short down")</f>
        <v>Short down</v>
      </c>
      <c r="AB62" s="278">
        <f ca="1">_xlfn.ISOWEEKNUM(Errorlog_table[[#This Row],[Date]])+52*(Errorlog_table[[#This Row],[Year]]-YEAR(DATE(YEAR(TODAY()-WEEKDAY(TODAY()-1)+4),1,1)-MOD((DATE(YEAR(TODAY()-WEEKDAY(TODAY()-1)+4),1,1)-2),7)+(7*IF(MOD((DATE(YEAR(TODAY()-WEEKDAY(TODAY()-1)+4),1,1)-2),7)&gt;3,1,0))+7) )-_xlfn.ISOWEEKNUM(NOW())</f>
        <v>-31</v>
      </c>
      <c r="AC62" s="277">
        <f>COUNTIF(MTBF_pareto[AIR],Errorlog_table[[#This Row],[AIR]])</f>
        <v>0</v>
      </c>
      <c r="AD62" s="306" t="str">
        <f>TEXT(Errorlog_table[[#This Row],[Date]],"yyyy-mm-dd")&amp;"_"&amp;TEXT(Errorlog_table[[#This Row],[SDT_Timestamp]],"HH:MM:SS")&amp;"_"&amp;Errorlog_table[[#This Row],[System]]</f>
        <v>2025-02-03_19:40:00_GY86</v>
      </c>
      <c r="AE62" s="287" t="str">
        <f>Errorlog_table[[#This Row],[P_Hits]]</f>
        <v>Y</v>
      </c>
      <c r="AF62" s="287">
        <v>0</v>
      </c>
    </row>
    <row r="63" spans="1:32" ht="28.5">
      <c r="A63" s="393" t="s">
        <v>4</v>
      </c>
      <c r="B63" s="277" t="str">
        <f>VLOOKUP(A63,'5000_Fleet'!A:D,2,FALSE)</f>
        <v>Intel</v>
      </c>
      <c r="C63" s="313" t="s">
        <v>413</v>
      </c>
      <c r="D63" s="313">
        <f>YEAR(DATE(YEAR(Errorlog_table[[#This Row],[Date]]-WEEKDAY(Errorlog_table[[#This Row],[Date]]-1)+4),1,1)-MOD((DATE(YEAR(Errorlog_table[[#This Row],[Date]]-WEEKDAY(Errorlog_table[[#This Row],[Date]]-1)+4),1,1)-2),7)+(7*IF(MOD((DATE(YEAR(Errorlog_table[[#This Row],[Date]]-WEEKDAY(Errorlog_table[[#This Row],[Date]]-1)+4),1,1)-2),7)&gt;3,1,0))+7)</f>
        <v>2025</v>
      </c>
      <c r="E63" s="278">
        <f>VALUE(TEXT(_xlfn.ISOWEEKNUM(Errorlog_table[[#This Row],[Date]]),"00"))</f>
        <v>6</v>
      </c>
      <c r="F63" s="410">
        <f>VALUE((Errorlog_table[[#This Row],[Year]])&amp;TEXT(Errorlog_table[[#This Row],[Week_Number]],"00"))</f>
        <v>202506</v>
      </c>
      <c r="G63" s="394">
        <v>45693</v>
      </c>
      <c r="H63" s="313" t="s">
        <v>414</v>
      </c>
      <c r="I63" s="313" t="s">
        <v>415</v>
      </c>
      <c r="J63" s="396" t="str">
        <f>IF(LEN(VALUE(MID(Errorlog_table[[#This Row],[Description]],FIND(":",Errorlog_table[[#This Row],[Description]])+1,6)))&gt;1,MID(Errorlog_table[[#This Row],[Description]],FIND(":",Errorlog_table[[#This Row],[Description]])+1,6),"")</f>
        <v>109360</v>
      </c>
      <c r="K63" s="313">
        <v>69.883332999999993</v>
      </c>
      <c r="L63" s="313" t="s">
        <v>118</v>
      </c>
      <c r="M63" s="277">
        <v>53049826</v>
      </c>
      <c r="N63" s="366" t="s">
        <v>416</v>
      </c>
      <c r="O63" s="281" t="str">
        <f t="shared" si="2"/>
        <v>P656698</v>
      </c>
      <c r="P63" s="277">
        <f>LEN(Errorlog_table[[#This Row],[AIR]])</f>
        <v>7</v>
      </c>
      <c r="Q63" cm="1">
        <f t="array" ref="Q63">IF(OR(Errorlog_table[[#This Row],[AIR]]="n/a",Errorlog_table[[#This Row],[Event_code]]="Y"),"n/a",IF(Errorlog_table[[#This Row],[AIR]]="","no AIR",_xlfn.XLOOKUP(Errorlog_table[[#This Row],[AIR]],AIR_dump[[#All],[Number]],AIR_dump[[#All],[Type]],"not found",0,1)))</f>
        <v>0</v>
      </c>
      <c r="R63" s="282" t="str" cm="1">
        <f t="array" ref="R63">IF(OR(Errorlog_table[[#This Row],[AIR]]="n/a",Errorlog_table[[#This Row],[Event_code]]="Y"),"n/a",IF(Errorlog_table[[#This Row],[AIR]]="","no AIR",_xlfn.XLOOKUP(Errorlog_table[[#This Row],[AIR]],AIR_dump[[#All],[Number]],AIR_dump[[#All],[Summary]],"not found",0,1)))</f>
        <v>BGDS manifolds fail during use due to broken solenoids on quick release valve</v>
      </c>
      <c r="S63" s="347" t="str" cm="1">
        <f t="array" ref="S63">_xlfn.XLOOKUP(Errorlog_table[[#This Row],[AIR]],AIR_dump[[#All],[Number]],AIR_dump[[#All],[Close notes]])</f>
        <v>BGDS manifold fails during use due to broken solonoid</v>
      </c>
      <c r="T63" s="372">
        <f>Errorlog_table[[#This Row],[Year_Week_Number]]</f>
        <v>202506</v>
      </c>
      <c r="U63" s="284" t="s">
        <v>230</v>
      </c>
      <c r="V63" s="284" t="s">
        <v>230</v>
      </c>
      <c r="W63" s="285" t="str">
        <f>Errorlog_table[[#This Row],[System]]</f>
        <v>CR51</v>
      </c>
      <c r="X63" s="366" t="s">
        <v>416</v>
      </c>
      <c r="Y63" s="277" t="str">
        <f>Errorlog_table[[#This Row],[Root_Error]]</f>
        <v>WE-0C04</v>
      </c>
      <c r="Z63" s="277" t="str">
        <f>Errorlog_table[[#This Row],[Description]]</f>
        <v>EpmID:109360| SCN - lot abort | WE-0C04 | BGDS</v>
      </c>
      <c r="AA63" s="277" t="str">
        <f t="shared" si="3"/>
        <v>XLD</v>
      </c>
      <c r="AB63" s="278">
        <f ca="1">_xlfn.ISOWEEKNUM(Errorlog_table[[#This Row],[Date]])+52*(Errorlog_table[[#This Row],[Year]]-YEAR(DATE(YEAR(TODAY()-WEEKDAY(TODAY()-1)+4),1,1)-MOD((DATE(YEAR(TODAY()-WEEKDAY(TODAY()-1)+4),1,1)-2),7)+(7*IF(MOD((DATE(YEAR(TODAY()-WEEKDAY(TODAY()-1)+4),1,1)-2),7)&gt;3,1,0))+7) )-_xlfn.ISOWEEKNUM(NOW())</f>
        <v>-31</v>
      </c>
      <c r="AC63" s="277">
        <f>COUNTIF(MTBF_pareto[AIR],Errorlog_table[[#This Row],[AIR]])</f>
        <v>0</v>
      </c>
      <c r="AD63" s="306" t="str">
        <f>TEXT(Errorlog_table[[#This Row],[Date]],"yyyy-mm-dd")&amp;"_"&amp;TEXT(Errorlog_table[[#This Row],[SDT_Timestamp]],"HH:MM:SS")&amp;"_"&amp;Errorlog_table[[#This Row],[System]]</f>
        <v>2025-02-05_14:12:00_CR51</v>
      </c>
      <c r="AE63" s="287" t="str">
        <f>Errorlog_table[[#This Row],[P_Hits]]</f>
        <v>Y</v>
      </c>
      <c r="AF63" s="287">
        <v>0</v>
      </c>
    </row>
    <row r="64" spans="1:32" ht="28.5">
      <c r="A64" s="397" t="s">
        <v>7</v>
      </c>
      <c r="B64" s="293" t="str">
        <f>VLOOKUP(A64,'5000_Fleet'!A:D,2,FALSE)</f>
        <v>Intel</v>
      </c>
      <c r="C64" s="313" t="s">
        <v>251</v>
      </c>
      <c r="D64" s="313">
        <f>YEAR(DATE(YEAR(Errorlog_table[[#This Row],[Date]]-WEEKDAY(Errorlog_table[[#This Row],[Date]]-1)+4),1,1)-MOD((DATE(YEAR(Errorlog_table[[#This Row],[Date]]-WEEKDAY(Errorlog_table[[#This Row],[Date]]-1)+4),1,1)-2),7)+(7*IF(MOD((DATE(YEAR(Errorlog_table[[#This Row],[Date]]-WEEKDAY(Errorlog_table[[#This Row],[Date]]-1)+4),1,1)-2),7)&gt;3,1,0))+7)</f>
        <v>2025</v>
      </c>
      <c r="E64" s="278">
        <f>VALUE(TEXT(_xlfn.ISOWEEKNUM(Errorlog_table[[#This Row],[Date]]),"00"))</f>
        <v>6</v>
      </c>
      <c r="F64" s="410">
        <f>VALUE((Errorlog_table[[#This Row],[Year]])&amp;TEXT(Errorlog_table[[#This Row],[Week_Number]],"00"))</f>
        <v>202506</v>
      </c>
      <c r="G64" s="394">
        <v>45696</v>
      </c>
      <c r="H64" s="313" t="s">
        <v>417</v>
      </c>
      <c r="I64" s="313" t="s">
        <v>418</v>
      </c>
      <c r="J64" s="396" t="str">
        <f>IF(LEN(VALUE(MID(Errorlog_table[[#This Row],[Description]],FIND(":",Errorlog_table[[#This Row],[Description]])+1,6)))&gt;1,MID(Errorlog_table[[#This Row],[Description]],FIND(":",Errorlog_table[[#This Row],[Description]])+1,6),"")</f>
        <v>109458</v>
      </c>
      <c r="K64" s="313">
        <v>0.98333300000000001</v>
      </c>
      <c r="L64" s="313" t="s">
        <v>126</v>
      </c>
      <c r="M64" s="277">
        <v>53016336</v>
      </c>
      <c r="N64" s="277" t="s">
        <v>271</v>
      </c>
      <c r="O64" s="281" t="str">
        <f t="shared" si="2"/>
        <v>P853275</v>
      </c>
      <c r="P64" s="277">
        <f>LEN(Errorlog_table[[#This Row],[AIR]])</f>
        <v>7</v>
      </c>
      <c r="Q64" cm="1">
        <f t="array" ref="Q64">IF(OR(Errorlog_table[[#This Row],[AIR]]="n/a",Errorlog_table[[#This Row],[Event_code]]="Y"),"n/a",IF(Errorlog_table[[#This Row],[AIR]]="","no AIR",_xlfn.XLOOKUP(Errorlog_table[[#This Row],[AIR]],AIR_dump[[#All],[Number]],AIR_dump[[#All],[Type]],"not found",0,1)))</f>
        <v>0</v>
      </c>
      <c r="R64" s="283" t="str" cm="1">
        <f t="array" ref="R64">IF(OR(Errorlog_table[[#This Row],[AIR]]="n/a",Errorlog_table[[#This Row],[Event_code]]="Y"),"n/a",IF(Errorlog_table[[#This Row],[AIR]]="","no AIR",_xlfn.XLOOKUP(Errorlog_table[[#This Row],[AIR]],AIR_dump[[#All],[Number]],AIR_dump[[#All],[Summary]],"not found",0,1)))</f>
        <v>P853275 - NXE:3800E and EXE:5000 Destination Violation Error ZH-221D</v>
      </c>
      <c r="S64" s="347" t="str" cm="1">
        <f t="array" ref="S64">_xlfn.XLOOKUP(Errorlog_table[[#This Row],[AIR]],AIR_dump[[#All],[Number]],AIR_dump[[#All],[Close notes]])</f>
        <v>Firmware delivered W19 (COB swap done)</v>
      </c>
      <c r="T64" s="372">
        <f>Errorlog_table[[#This Row],[Year_Week_Number]]</f>
        <v>202506</v>
      </c>
      <c r="U64" s="284" t="s">
        <v>230</v>
      </c>
      <c r="V64" s="284" t="s">
        <v>230</v>
      </c>
      <c r="W64" s="307" t="str">
        <f>Errorlog_table[[#This Row],[System]]</f>
        <v>GY86</v>
      </c>
      <c r="X64" s="347" t="str">
        <f>Errorlog_table[[#This Row],[link]]</f>
        <v>P853275</v>
      </c>
      <c r="Y64" s="277" t="str">
        <f>Errorlog_table[[#This Row],[Root_Error]]</f>
        <v>ZH-221D</v>
      </c>
      <c r="Z64" s="293" t="str">
        <f>Errorlog_table[[#This Row],[Description]]</f>
        <v>EpmID:109458| SCN - LOT aborted | ZH-221D | NotSet</v>
      </c>
      <c r="AA64" s="293" t="str">
        <f t="shared" si="3"/>
        <v>Short down</v>
      </c>
      <c r="AB64" s="315">
        <f ca="1">_xlfn.ISOWEEKNUM(Errorlog_table[[#This Row],[Date]])+52*(Errorlog_table[[#This Row],[Year]]-YEAR(DATE(YEAR(TODAY()-WEEKDAY(TODAY()-1)+4),1,1)-MOD((DATE(YEAR(TODAY()-WEEKDAY(TODAY()-1)+4),1,1)-2),7)+(7*IF(MOD((DATE(YEAR(TODAY()-WEEKDAY(TODAY()-1)+4),1,1)-2),7)&gt;3,1,0))+7) )-_xlfn.ISOWEEKNUM(NOW())</f>
        <v>-31</v>
      </c>
      <c r="AC64" s="293">
        <f>COUNTIF(MTBF_pareto[AIR],Errorlog_table[[#This Row],[AIR]])</f>
        <v>0</v>
      </c>
      <c r="AD64" s="306" t="str">
        <f>TEXT(Errorlog_table[[#This Row],[Date]],"yyyy-mm-dd")&amp;"_"&amp;TEXT(Errorlog_table[[#This Row],[SDT_Timestamp]],"HH:MM:SS")&amp;"_"&amp;Errorlog_table[[#This Row],[System]]</f>
        <v>2025-02-08_01:42:00_GY86</v>
      </c>
      <c r="AE64" s="287" t="str">
        <f>Errorlog_table[[#This Row],[P_Hits]]</f>
        <v>Y</v>
      </c>
      <c r="AF64" s="287">
        <v>0</v>
      </c>
    </row>
    <row r="65" spans="1:32" ht="28.5">
      <c r="A65" s="369" t="s">
        <v>7</v>
      </c>
      <c r="B65" s="277" t="str">
        <f>VLOOKUP(A65,'5000_Fleet'!A:D,2,FALSE)</f>
        <v>Intel</v>
      </c>
      <c r="C65" s="287" t="s">
        <v>251</v>
      </c>
      <c r="D65" s="287">
        <f>YEAR(DATE(YEAR(Errorlog_table[[#This Row],[Date]]-WEEKDAY(Errorlog_table[[#This Row],[Date]]-1)+4),1,1)-MOD((DATE(YEAR(Errorlog_table[[#This Row],[Date]]-WEEKDAY(Errorlog_table[[#This Row],[Date]]-1)+4),1,1)-2),7)+(7*IF(MOD((DATE(YEAR(Errorlog_table[[#This Row],[Date]]-WEEKDAY(Errorlog_table[[#This Row],[Date]]-1)+4),1,1)-2),7)&gt;3,1,0))+7)</f>
        <v>2025</v>
      </c>
      <c r="E65" s="278">
        <f>VALUE(TEXT(_xlfn.ISOWEEKNUM(Errorlog_table[[#This Row],[Date]]),"00"))</f>
        <v>7</v>
      </c>
      <c r="F65" s="410">
        <f>VALUE((Errorlog_table[[#This Row],[Year]])&amp;TEXT(Errorlog_table[[#This Row],[Week_Number]],"00"))</f>
        <v>202507</v>
      </c>
      <c r="G65" s="384">
        <v>45700</v>
      </c>
      <c r="H65" s="289" t="s">
        <v>432</v>
      </c>
      <c r="I65" s="289" t="s">
        <v>433</v>
      </c>
      <c r="J65" s="395" t="str">
        <f>IF(LEN(VALUE(MID(Errorlog_table[[#This Row],[Description]],FIND(":",Errorlog_table[[#This Row],[Description]])+1,6)))&gt;1,MID(Errorlog_table[[#This Row],[Description]],FIND(":",Errorlog_table[[#This Row],[Description]])+1,6),"")</f>
        <v>110234</v>
      </c>
      <c r="K65" s="289">
        <v>3.0833330000000001</v>
      </c>
      <c r="L65" s="289" t="s">
        <v>126</v>
      </c>
      <c r="M65" s="277">
        <v>53016336</v>
      </c>
      <c r="N65" s="287" t="s">
        <v>271</v>
      </c>
      <c r="O65" s="281" t="str">
        <f t="shared" si="2"/>
        <v>P853275</v>
      </c>
      <c r="P65" s="277">
        <f>LEN(Errorlog_table[[#This Row],[AIR]])</f>
        <v>7</v>
      </c>
      <c r="Q65" cm="1">
        <f t="array" ref="Q65">IF(OR(Errorlog_table[[#This Row],[AIR]]="n/a",Errorlog_table[[#This Row],[Event_code]]="Y"),"n/a",IF(Errorlog_table[[#This Row],[AIR]]="","no AIR",_xlfn.XLOOKUP(Errorlog_table[[#This Row],[AIR]],AIR_dump[[#All],[Number]],AIR_dump[[#All],[Type]],"not found",0,1)))</f>
        <v>0</v>
      </c>
      <c r="R65" s="282" t="str" cm="1">
        <f t="array" ref="R65">IF(OR(Errorlog_table[[#This Row],[AIR]]="n/a",Errorlog_table[[#This Row],[Event_code]]="Y"),"n/a",IF(Errorlog_table[[#This Row],[AIR]]="","no AIR",_xlfn.XLOOKUP(Errorlog_table[[#This Row],[AIR]],AIR_dump[[#All],[Number]],AIR_dump[[#All],[Summary]],"not found",0,1)))</f>
        <v>P853275 - NXE:3800E and EXE:5000 Destination Violation Error ZH-221D</v>
      </c>
      <c r="S65" s="347" t="str" cm="1">
        <f t="array" ref="S65">_xlfn.XLOOKUP(Errorlog_table[[#This Row],[AIR]],AIR_dump[[#All],[Number]],AIR_dump[[#All],[Close notes]])</f>
        <v>Firmware delivered W19 (COB swap done)</v>
      </c>
      <c r="T65" s="372">
        <f>Errorlog_table[[#This Row],[Year_Week_Number]]</f>
        <v>202507</v>
      </c>
      <c r="U65" s="284" t="s">
        <v>230</v>
      </c>
      <c r="V65" s="284" t="s">
        <v>230</v>
      </c>
      <c r="W65" s="285" t="str">
        <f>Errorlog_table[[#This Row],[System]]</f>
        <v>GY86</v>
      </c>
      <c r="X65" s="366" t="str">
        <f>Errorlog_table[[#This Row],[link]]</f>
        <v>P853275</v>
      </c>
      <c r="Y65" s="277" t="str">
        <f>Errorlog_table[[#This Row],[Root_Error]]</f>
        <v>ZH-221D</v>
      </c>
      <c r="Z65" s="277" t="str">
        <f>Errorlog_table[[#This Row],[Description]]</f>
        <v>EpmID:110234| SCN - lot abort zh-221D | ZH-221D |</v>
      </c>
      <c r="AA65" s="277" t="str">
        <f t="shared" si="3"/>
        <v>Short down</v>
      </c>
      <c r="AB65" s="278">
        <f ca="1">_xlfn.ISOWEEKNUM(Errorlog_table[[#This Row],[Date]])+52*(Errorlog_table[[#This Row],[Year]]-YEAR(DATE(YEAR(TODAY()-WEEKDAY(TODAY()-1)+4),1,1)-MOD((DATE(YEAR(TODAY()-WEEKDAY(TODAY()-1)+4),1,1)-2),7)+(7*IF(MOD((DATE(YEAR(TODAY()-WEEKDAY(TODAY()-1)+4),1,1)-2),7)&gt;3,1,0))+7) )-_xlfn.ISOWEEKNUM(NOW())</f>
        <v>-30</v>
      </c>
      <c r="AC65" s="277">
        <f>COUNTIF(MTBF_pareto[AIR],Errorlog_table[[#This Row],[AIR]])</f>
        <v>0</v>
      </c>
      <c r="AD65" s="306" t="str">
        <f>TEXT(Errorlog_table[[#This Row],[Date]],"yyyy-mm-dd")&amp;"_"&amp;TEXT(Errorlog_table[[#This Row],[SDT_Timestamp]],"HH:MM:SS")&amp;"_"&amp;Errorlog_table[[#This Row],[System]]</f>
        <v>2025-02-12_23:39:00_GY86</v>
      </c>
      <c r="AE65" s="287" t="str">
        <f>Errorlog_table[[#This Row],[P_Hits]]</f>
        <v>Y</v>
      </c>
      <c r="AF65" s="287">
        <v>0</v>
      </c>
    </row>
    <row r="66" spans="1:32" ht="15">
      <c r="A66" s="369" t="s">
        <v>4</v>
      </c>
      <c r="B66" s="277" t="str">
        <f>VLOOKUP(A66,'5000_Fleet'!A:D,2,FALSE)</f>
        <v>Intel</v>
      </c>
      <c r="C66" s="289" t="s">
        <v>425</v>
      </c>
      <c r="D66" s="289">
        <f>YEAR(DATE(YEAR(Errorlog_table[[#This Row],[Date]]-WEEKDAY(Errorlog_table[[#This Row],[Date]]-1)+4),1,1)-MOD((DATE(YEAR(Errorlog_table[[#This Row],[Date]]-WEEKDAY(Errorlog_table[[#This Row],[Date]]-1)+4),1,1)-2),7)+(7*IF(MOD((DATE(YEAR(Errorlog_table[[#This Row],[Date]]-WEEKDAY(Errorlog_table[[#This Row],[Date]]-1)+4),1,1)-2),7)&gt;3,1,0))+7)</f>
        <v>2025</v>
      </c>
      <c r="E66" s="278">
        <f>VALUE(TEXT(_xlfn.ISOWEEKNUM(Errorlog_table[[#This Row],[Date]]),"00"))</f>
        <v>7</v>
      </c>
      <c r="F66" s="410">
        <f>VALUE((Errorlog_table[[#This Row],[Year]])&amp;TEXT(Errorlog_table[[#This Row],[Week_Number]],"00"))</f>
        <v>202507</v>
      </c>
      <c r="G66" s="384">
        <v>45701</v>
      </c>
      <c r="H66" s="289" t="s">
        <v>426</v>
      </c>
      <c r="I66" s="289" t="s">
        <v>427</v>
      </c>
      <c r="J66" s="396" t="str">
        <f>IF(LEN(VALUE(MID(Errorlog_table[[#This Row],[Description]],FIND(":",Errorlog_table[[#This Row],[Description]])+1,6)))&gt;1,MID(Errorlog_table[[#This Row],[Description]],FIND(":",Errorlog_table[[#This Row],[Description]])+1,6),"")</f>
        <v>110305</v>
      </c>
      <c r="K66" s="289">
        <v>0.31666699999999998</v>
      </c>
      <c r="L66" s="292" t="s">
        <v>92</v>
      </c>
      <c r="M66" s="277">
        <v>53057455</v>
      </c>
      <c r="N66" s="497" t="s">
        <v>428</v>
      </c>
      <c r="O66" s="281" t="str">
        <f t="shared" ref="O66:O97" si="4">IF(N66="",HYPERLINK("https://air.asml.com/textsearch.do?sysparm_search="&amp;M66,M66),HYPERLINK("https://air.asml.com/u_qm_issues.do?sysparm_query=number="&amp;N66,N66))</f>
        <v>P838000</v>
      </c>
      <c r="P66" s="277">
        <f>LEN(Errorlog_table[[#This Row],[AIR]])</f>
        <v>7</v>
      </c>
      <c r="Q66" cm="1">
        <f t="array" ref="Q66">IF(OR(Errorlog_table[[#This Row],[AIR]]="n/a",Errorlog_table[[#This Row],[Event_code]]="Y"),"n/a",IF(Errorlog_table[[#This Row],[AIR]]="","no AIR",_xlfn.XLOOKUP(Errorlog_table[[#This Row],[AIR]],AIR_dump[[#All],[Number]],AIR_dump[[#All],[Type]],"not found",0,1)))</f>
        <v>0</v>
      </c>
      <c r="R66" s="282" t="s">
        <v>429</v>
      </c>
      <c r="S66" s="347" t="str" cm="1">
        <f t="array" ref="S66">_xlfn.XLOOKUP(Errorlog_table[[#This Row],[AIR]],AIR_dump[[#All],[Number]],AIR_dump[[#All],[Close notes]])</f>
        <v>sp23</v>
      </c>
      <c r="T66" s="372">
        <f>Errorlog_table[[#This Row],[Year_Week_Number]]</f>
        <v>202507</v>
      </c>
      <c r="U66" s="284" t="s">
        <v>239</v>
      </c>
      <c r="V66" s="284" t="s">
        <v>230</v>
      </c>
      <c r="W66" s="285" t="str">
        <f>Errorlog_table[[#This Row],[System]]</f>
        <v>CR51</v>
      </c>
      <c r="X66" s="366" t="str">
        <f>Errorlog_table[[#This Row],[link]]</f>
        <v>P838000</v>
      </c>
      <c r="Y66" s="277" t="str">
        <f>Errorlog_table[[#This Row],[Root_Error]]</f>
        <v>RU-1F2E</v>
      </c>
      <c r="Z66" s="277" t="str">
        <f>Errorlog_table[[#This Row],[Description]]</f>
        <v>EpmID:110305| SCN - LDLK1 Failed to open ATM | RU-1F2E |</v>
      </c>
      <c r="AA66" s="277" t="str">
        <f t="shared" si="3"/>
        <v>Short down</v>
      </c>
      <c r="AB66" s="278">
        <f ca="1">_xlfn.ISOWEEKNUM(Errorlog_table[[#This Row],[Date]])+52*(Errorlog_table[[#This Row],[Year]]-YEAR(DATE(YEAR(TODAY()-WEEKDAY(TODAY()-1)+4),1,1)-MOD((DATE(YEAR(TODAY()-WEEKDAY(TODAY()-1)+4),1,1)-2),7)+(7*IF(MOD((DATE(YEAR(TODAY()-WEEKDAY(TODAY()-1)+4),1,1)-2),7)&gt;3,1,0))+7) )-_xlfn.ISOWEEKNUM(NOW())</f>
        <v>-30</v>
      </c>
      <c r="AC66" s="277">
        <f>COUNTIF(MTBF_pareto[AIR],Errorlog_table[[#This Row],[AIR]])</f>
        <v>0</v>
      </c>
      <c r="AD66" s="306" t="str">
        <f>TEXT(Errorlog_table[[#This Row],[Date]],"yyyy-mm-dd")&amp;"_"&amp;TEXT(Errorlog_table[[#This Row],[SDT_Timestamp]],"HH:MM:SS")&amp;"_"&amp;Errorlog_table[[#This Row],[System]]</f>
        <v>2025-02-13_16:00:00_CR51</v>
      </c>
      <c r="AE66" s="287" t="str">
        <f>Errorlog_table[[#This Row],[P_Hits]]</f>
        <v>N</v>
      </c>
      <c r="AF66" s="287">
        <v>0</v>
      </c>
    </row>
    <row r="67" spans="1:32" ht="28.5">
      <c r="A67" s="398" t="s">
        <v>7</v>
      </c>
      <c r="B67" s="293" t="str">
        <f>VLOOKUP(A67,'5000_Fleet'!A:D,2,FALSE)</f>
        <v>Intel</v>
      </c>
      <c r="C67" s="292" t="s">
        <v>240</v>
      </c>
      <c r="D67" s="292">
        <f>YEAR(DATE(YEAR(Errorlog_table[[#This Row],[Date]]-WEEKDAY(Errorlog_table[[#This Row],[Date]]-1)+4),1,1)-MOD((DATE(YEAR(Errorlog_table[[#This Row],[Date]]-WEEKDAY(Errorlog_table[[#This Row],[Date]]-1)+4),1,1)-2),7)+(7*IF(MOD((DATE(YEAR(Errorlog_table[[#This Row],[Date]]-WEEKDAY(Errorlog_table[[#This Row],[Date]]-1)+4),1,1)-2),7)&gt;3,1,0))+7)</f>
        <v>2025</v>
      </c>
      <c r="E67" s="278">
        <f>VALUE(TEXT(_xlfn.ISOWEEKNUM(Errorlog_table[[#This Row],[Date]]),"00"))</f>
        <v>7</v>
      </c>
      <c r="F67" s="410">
        <f>VALUE((Errorlog_table[[#This Row],[Year]])&amp;TEXT(Errorlog_table[[#This Row],[Week_Number]],"00"))</f>
        <v>202507</v>
      </c>
      <c r="G67" s="384">
        <v>45702</v>
      </c>
      <c r="H67" s="289" t="s">
        <v>430</v>
      </c>
      <c r="I67" s="289" t="s">
        <v>431</v>
      </c>
      <c r="J67" s="396" t="str">
        <f>IF(LEN(VALUE(MID(Errorlog_table[[#This Row],[Description]],FIND(":",Errorlog_table[[#This Row],[Description]])+1,6)))&gt;1,MID(Errorlog_table[[#This Row],[Description]],FIND(":",Errorlog_table[[#This Row],[Description]])+1,6),"")</f>
        <v>110310</v>
      </c>
      <c r="K67" s="289">
        <v>2.3833329999999999</v>
      </c>
      <c r="L67" s="287" t="s">
        <v>321</v>
      </c>
      <c r="M67" s="277">
        <v>53058093</v>
      </c>
      <c r="N67" s="277" t="s">
        <v>243</v>
      </c>
      <c r="O67" s="281" t="str">
        <f t="shared" si="4"/>
        <v>P820381</v>
      </c>
      <c r="P67" s="277">
        <f>LEN(Errorlog_table[[#This Row],[AIR]])</f>
        <v>7</v>
      </c>
      <c r="Q67" cm="1">
        <f t="array" ref="Q67">IF(OR(Errorlog_table[[#This Row],[AIR]]="n/a",Errorlog_table[[#This Row],[Event_code]]="Y"),"n/a",IF(Errorlog_table[[#This Row],[AIR]]="","no AIR",_xlfn.XLOOKUP(Errorlog_table[[#This Row],[AIR]],AIR_dump[[#All],[Number]],AIR_dump[[#All],[Type]],"not found",0,1)))</f>
        <v>0</v>
      </c>
      <c r="R67" s="283" t="str" cm="1">
        <f t="array" ref="R67">IF(OR(Errorlog_table[[#This Row],[AIR]]="n/a",Errorlog_table[[#This Row],[Event_code]]="Y"),"n/a",IF(Errorlog_table[[#This Row],[AIR]]="","no AIR",_xlfn.XLOOKUP(Errorlog_table[[#This Row],[AIR]],AIR_dump[[#All],[Number]],AIR_dump[[#All],[Summary]],"not found",0,1)))</f>
        <v>P820381 - |Proto2| |VHV| |mEX04| Lot Abort Due to DW-56C6 Real Time Sensor Link communication with D</v>
      </c>
      <c r="S67" s="347" t="str" cm="1">
        <f t="array" ref="S67">_xlfn.XLOOKUP(Errorlog_table[[#This Row],[AIR]],AIR_dump[[#All],[Number]],AIR_dump[[#All],[Close notes]])</f>
        <v>Containment in SP22 since not occurred</v>
      </c>
      <c r="T67" s="372">
        <f>Errorlog_table[[#This Row],[Year_Week_Number]]</f>
        <v>202507</v>
      </c>
      <c r="U67" s="284" t="s">
        <v>230</v>
      </c>
      <c r="V67" s="284" t="s">
        <v>230</v>
      </c>
      <c r="W67" s="307" t="str">
        <f>Errorlog_table[[#This Row],[System]]</f>
        <v>GY86</v>
      </c>
      <c r="X67" s="347" t="str">
        <f>Errorlog_table[[#This Row],[link]]</f>
        <v>P820381</v>
      </c>
      <c r="Y67" s="277" t="str">
        <f>Errorlog_table[[#This Row],[Root_Error]]</f>
        <v>DW-56C6</v>
      </c>
      <c r="Z67" s="293" t="str">
        <f>Errorlog_table[[#This Row],[Description]]</f>
        <v>EpmID:110310| SCN - lot ops failed dw-56c6 (Lot Abort)| DW-56C6 |</v>
      </c>
      <c r="AA67" s="293" t="str">
        <f t="shared" si="3"/>
        <v>Short down</v>
      </c>
      <c r="AB67" s="315">
        <f ca="1">_xlfn.ISOWEEKNUM(Errorlog_table[[#This Row],[Date]])+52*(Errorlog_table[[#This Row],[Year]]-YEAR(DATE(YEAR(TODAY()-WEEKDAY(TODAY()-1)+4),1,1)-MOD((DATE(YEAR(TODAY()-WEEKDAY(TODAY()-1)+4),1,1)-2),7)+(7*IF(MOD((DATE(YEAR(TODAY()-WEEKDAY(TODAY()-1)+4),1,1)-2),7)&gt;3,1,0))+7) )-_xlfn.ISOWEEKNUM(NOW())</f>
        <v>-30</v>
      </c>
      <c r="AC67" s="293">
        <f>COUNTIF(MTBF_pareto[AIR],Errorlog_table[[#This Row],[AIR]])</f>
        <v>0</v>
      </c>
      <c r="AD67" s="306" t="str">
        <f>TEXT(Errorlog_table[[#This Row],[Date]],"yyyy-mm-dd")&amp;"_"&amp;TEXT(Errorlog_table[[#This Row],[SDT_Timestamp]],"HH:MM:SS")&amp;"_"&amp;Errorlog_table[[#This Row],[System]]</f>
        <v>2025-02-14_01:47:00_GY86</v>
      </c>
      <c r="AE67" s="287" t="str">
        <f>Errorlog_table[[#This Row],[P_Hits]]</f>
        <v>Y</v>
      </c>
      <c r="AF67" s="287">
        <v>0</v>
      </c>
    </row>
    <row r="68" spans="1:32" ht="28.5">
      <c r="A68" s="289" t="s">
        <v>7</v>
      </c>
      <c r="B68" s="277" t="str">
        <f>VLOOKUP(A68,'5000_Fleet'!A:D,2,FALSE)</f>
        <v>Intel</v>
      </c>
      <c r="C68" s="289" t="s">
        <v>251</v>
      </c>
      <c r="D68" s="289">
        <f>YEAR(DATE(YEAR(Errorlog_table[[#This Row],[Date]]-WEEKDAY(Errorlog_table[[#This Row],[Date]]-1)+4),1,1)-MOD((DATE(YEAR(Errorlog_table[[#This Row],[Date]]-WEEKDAY(Errorlog_table[[#This Row],[Date]]-1)+4),1,1)-2),7)+(7*IF(MOD((DATE(YEAR(Errorlog_table[[#This Row],[Date]]-WEEKDAY(Errorlog_table[[#This Row],[Date]]-1)+4),1,1)-2),7)&gt;3,1,0))+7)</f>
        <v>2025</v>
      </c>
      <c r="E68" s="278">
        <f>VALUE(TEXT(_xlfn.ISOWEEKNUM(Errorlog_table[[#This Row],[Date]]),"00"))</f>
        <v>8</v>
      </c>
      <c r="F68" s="410">
        <f>VALUE((Errorlog_table[[#This Row],[Year]])&amp;TEXT(Errorlog_table[[#This Row],[Week_Number]],"00"))</f>
        <v>202508</v>
      </c>
      <c r="G68" s="384">
        <v>45706</v>
      </c>
      <c r="H68" s="289" t="s">
        <v>439</v>
      </c>
      <c r="I68" s="385" t="s">
        <v>440</v>
      </c>
      <c r="J68" s="395" t="str">
        <f>IF(LEN(VALUE(MID(Errorlog_table[[#This Row],[Description]],FIND(":",Errorlog_table[[#This Row],[Description]])+1,6)))&gt;1,MID(Errorlog_table[[#This Row],[Description]],FIND(":",Errorlog_table[[#This Row],[Description]])+1,6),"")</f>
        <v>110600</v>
      </c>
      <c r="K68" s="289">
        <v>3.3333330000000001</v>
      </c>
      <c r="L68" s="292" t="s">
        <v>126</v>
      </c>
      <c r="M68" s="277">
        <v>0</v>
      </c>
      <c r="N68" s="293" t="s">
        <v>271</v>
      </c>
      <c r="O68" s="281" t="str">
        <f t="shared" si="4"/>
        <v>P853275</v>
      </c>
      <c r="P68" s="277">
        <f>LEN(Errorlog_table[[#This Row],[AIR]])</f>
        <v>7</v>
      </c>
      <c r="Q68" cm="1">
        <f t="array" ref="Q68">IF(OR(Errorlog_table[[#This Row],[AIR]]="n/a",Errorlog_table[[#This Row],[Event_code]]="Y"),"n/a",IF(Errorlog_table[[#This Row],[AIR]]="","no AIR",_xlfn.XLOOKUP(Errorlog_table[[#This Row],[AIR]],AIR_dump[[#All],[Number]],AIR_dump[[#All],[Type]],"not found",0,1)))</f>
        <v>0</v>
      </c>
      <c r="R68" s="282" t="str" cm="1">
        <f t="array" ref="R68">IF(OR(Errorlog_table[[#This Row],[AIR]]="n/a",Errorlog_table[[#This Row],[Event_code]]="Y"),"n/a",IF(Errorlog_table[[#This Row],[AIR]]="","no AIR",_xlfn.XLOOKUP(Errorlog_table[[#This Row],[AIR]],AIR_dump[[#All],[Number]],AIR_dump[[#All],[Summary]],"not found",0,1)))</f>
        <v>P853275 - NXE:3800E and EXE:5000 Destination Violation Error ZH-221D</v>
      </c>
      <c r="S68" s="347" t="str" cm="1">
        <f t="array" ref="S68">_xlfn.XLOOKUP(Errorlog_table[[#This Row],[AIR]],AIR_dump[[#All],[Number]],AIR_dump[[#All],[Close notes]])</f>
        <v>Firmware delivered W19 (COB swap done)</v>
      </c>
      <c r="T68" s="372">
        <f>Errorlog_table[[#This Row],[Year_Week_Number]]</f>
        <v>202508</v>
      </c>
      <c r="U68" s="284" t="s">
        <v>230</v>
      </c>
      <c r="V68" s="284" t="s">
        <v>230</v>
      </c>
      <c r="W68" s="285" t="str">
        <f>Errorlog_table[[#This Row],[System]]</f>
        <v>GY86</v>
      </c>
      <c r="X68" s="366" t="str">
        <f>Errorlog_table[[#This Row],[link]]</f>
        <v>P853275</v>
      </c>
      <c r="Y68" s="277" t="str">
        <f>Errorlog_table[[#This Row],[Root_Error]]</f>
        <v>ZH-221D</v>
      </c>
      <c r="Z68" s="277" t="str">
        <f>Errorlog_table[[#This Row],[Description]]</f>
        <v>EpmID:110600| SCN - Lot Abort ZH-221D | ZH-221D |</v>
      </c>
      <c r="AA68" s="277" t="str">
        <f t="shared" si="3"/>
        <v>Short down</v>
      </c>
      <c r="AB68" s="278">
        <f ca="1">_xlfn.ISOWEEKNUM(Errorlog_table[[#This Row],[Date]])+52*(Errorlog_table[[#This Row],[Year]]-YEAR(DATE(YEAR(TODAY()-WEEKDAY(TODAY()-1)+4),1,1)-MOD((DATE(YEAR(TODAY()-WEEKDAY(TODAY()-1)+4),1,1)-2),7)+(7*IF(MOD((DATE(YEAR(TODAY()-WEEKDAY(TODAY()-1)+4),1,1)-2),7)&gt;3,1,0))+7) )-_xlfn.ISOWEEKNUM(NOW())</f>
        <v>-29</v>
      </c>
      <c r="AC68" s="277">
        <f>COUNTIF(MTBF_pareto[AIR],Errorlog_table[[#This Row],[AIR]])</f>
        <v>0</v>
      </c>
      <c r="AD68" s="306" t="str">
        <f>TEXT(Errorlog_table[[#This Row],[Date]],"yyyy-mm-dd")&amp;"_"&amp;TEXT(Errorlog_table[[#This Row],[SDT_Timestamp]],"HH:MM:SS")&amp;"_"&amp;Errorlog_table[[#This Row],[System]]</f>
        <v>2025-02-18_13:48:00_GY86</v>
      </c>
      <c r="AE68" s="287" t="str">
        <f>Errorlog_table[[#This Row],[P_Hits]]</f>
        <v>Y</v>
      </c>
      <c r="AF68" s="287">
        <v>0</v>
      </c>
    </row>
    <row r="69" spans="1:32" ht="28.5">
      <c r="A69" s="289" t="s">
        <v>7</v>
      </c>
      <c r="B69" s="277" t="str">
        <f>VLOOKUP(A69,'5000_Fleet'!A:D,2,FALSE)</f>
        <v>Intel</v>
      </c>
      <c r="C69" s="289" t="s">
        <v>434</v>
      </c>
      <c r="D69" s="289">
        <f>YEAR(DATE(YEAR(Errorlog_table[[#This Row],[Date]]-WEEKDAY(Errorlog_table[[#This Row],[Date]]-1)+4),1,1)-MOD((DATE(YEAR(Errorlog_table[[#This Row],[Date]]-WEEKDAY(Errorlog_table[[#This Row],[Date]]-1)+4),1,1)-2),7)+(7*IF(MOD((DATE(YEAR(Errorlog_table[[#This Row],[Date]]-WEEKDAY(Errorlog_table[[#This Row],[Date]]-1)+4),1,1)-2),7)&gt;3,1,0))+7)</f>
        <v>2025</v>
      </c>
      <c r="E69" s="278">
        <f>VALUE(TEXT(_xlfn.ISOWEEKNUM(Errorlog_table[[#This Row],[Date]]),"00"))</f>
        <v>8</v>
      </c>
      <c r="F69" s="410">
        <f>VALUE((Errorlog_table[[#This Row],[Year]])&amp;TEXT(Errorlog_table[[#This Row],[Week_Number]],"00"))</f>
        <v>202508</v>
      </c>
      <c r="G69" s="384">
        <v>45709</v>
      </c>
      <c r="H69" s="289" t="s">
        <v>373</v>
      </c>
      <c r="I69" s="385" t="s">
        <v>435</v>
      </c>
      <c r="J69" s="396" t="str">
        <f>IF(LEN(VALUE(MID(Errorlog_table[[#This Row],[Description]],FIND(":",Errorlog_table[[#This Row],[Description]])+1,6)))&gt;1,MID(Errorlog_table[[#This Row],[Description]],FIND(":",Errorlog_table[[#This Row],[Description]])+1,6),"")</f>
        <v>111036</v>
      </c>
      <c r="K69" s="289">
        <v>26.966667000000001</v>
      </c>
      <c r="L69" s="287" t="s">
        <v>10</v>
      </c>
      <c r="M69" s="277">
        <v>53064643</v>
      </c>
      <c r="N69" s="293" t="s">
        <v>436</v>
      </c>
      <c r="O69" s="281" t="str">
        <f t="shared" si="4"/>
        <v>P861609</v>
      </c>
      <c r="P69" s="277">
        <f>LEN(Errorlog_table[[#This Row],[AIR]])</f>
        <v>7</v>
      </c>
      <c r="Q69" cm="1">
        <f t="array" ref="Q69">IF(OR(Errorlog_table[[#This Row],[AIR]]="n/a",Errorlog_table[[#This Row],[Event_code]]="Y"),"n/a",IF(Errorlog_table[[#This Row],[AIR]]="","no AIR",_xlfn.XLOOKUP(Errorlog_table[[#This Row],[AIR]],AIR_dump[[#All],[Number]],AIR_dump[[#All],[Type]],"not found",0,1)))</f>
        <v>0</v>
      </c>
      <c r="R69" s="282" t="str" cm="1">
        <f t="array" ref="R69">IF(OR(Errorlog_table[[#This Row],[AIR]]="n/a",Errorlog_table[[#This Row],[Event_code]]="Y"),"n/a",IF(Errorlog_table[[#This Row],[AIR]]="","no AIR",_xlfn.XLOOKUP(Errorlog_table[[#This Row],[AIR]],AIR_dump[[#All],[Number]],AIR_dump[[#All],[Summary]],"not found",0,1)))</f>
        <v>Change default RCWC-XL BLD trip level to mitigate VolDiff value fluctuations</v>
      </c>
      <c r="S69" s="347" t="str" cm="1">
        <f t="array" ref="S69">_xlfn.XLOOKUP(Errorlog_table[[#This Row],[AIR]],AIR_dump[[#All],[Number]],AIR_dump[[#All],[Close notes]])</f>
        <v>RCA</v>
      </c>
      <c r="T69" s="372">
        <f>Errorlog_table[[#This Row],[Year_Week_Number]]</f>
        <v>202508</v>
      </c>
      <c r="U69" s="284" t="s">
        <v>230</v>
      </c>
      <c r="V69" s="284" t="s">
        <v>230</v>
      </c>
      <c r="W69" s="285" t="str">
        <f>Errorlog_table[[#This Row],[System]]</f>
        <v>GY86</v>
      </c>
      <c r="X69" s="366" t="str">
        <f>Errorlog_table[[#This Row],[link]]</f>
        <v>P861609</v>
      </c>
      <c r="Y69" s="277" t="str">
        <f>Errorlog_table[[#This Row],[Root_Error]]</f>
        <v>RM-3246</v>
      </c>
      <c r="Z69" s="277" t="str">
        <f>Errorlog_table[[#This Row],[Description]]</f>
        <v>EpmID:111036| SCN - Lot abort for VS / RCW error | RM-3246 |</v>
      </c>
      <c r="AA69" s="277" t="str">
        <f t="shared" si="3"/>
        <v>XLD</v>
      </c>
      <c r="AB69" s="278">
        <f ca="1">_xlfn.ISOWEEKNUM(Errorlog_table[[#This Row],[Date]])+52*(Errorlog_table[[#This Row],[Year]]-YEAR(DATE(YEAR(TODAY()-WEEKDAY(TODAY()-1)+4),1,1)-MOD((DATE(YEAR(TODAY()-WEEKDAY(TODAY()-1)+4),1,1)-2),7)+(7*IF(MOD((DATE(YEAR(TODAY()-WEEKDAY(TODAY()-1)+4),1,1)-2),7)&gt;3,1,0))+7) )-_xlfn.ISOWEEKNUM(NOW())</f>
        <v>-29</v>
      </c>
      <c r="AC69" s="277">
        <f>COUNTIF(MTBF_pareto[AIR],Errorlog_table[[#This Row],[AIR]])</f>
        <v>0</v>
      </c>
      <c r="AD69" s="306" t="str">
        <f>TEXT(Errorlog_table[[#This Row],[Date]],"yyyy-mm-dd")&amp;"_"&amp;TEXT(Errorlog_table[[#This Row],[SDT_Timestamp]],"HH:MM:SS")&amp;"_"&amp;Errorlog_table[[#This Row],[System]]</f>
        <v>2025-02-21_10:55:00_GY86</v>
      </c>
      <c r="AE69" s="287" t="str">
        <f>Errorlog_table[[#This Row],[P_Hits]]</f>
        <v>Y</v>
      </c>
      <c r="AF69" s="287">
        <v>0</v>
      </c>
    </row>
    <row r="70" spans="1:32" ht="28.5">
      <c r="A70" s="289" t="s">
        <v>7</v>
      </c>
      <c r="B70" s="293" t="str">
        <f>VLOOKUP(A70,'5000_Fleet'!A:D,2,FALSE)</f>
        <v>Intel</v>
      </c>
      <c r="C70" s="289" t="s">
        <v>280</v>
      </c>
      <c r="D70" s="289">
        <f>YEAR(DATE(YEAR(Errorlog_table[[#This Row],[Date]]-WEEKDAY(Errorlog_table[[#This Row],[Date]]-1)+4),1,1)-MOD((DATE(YEAR(Errorlog_table[[#This Row],[Date]]-WEEKDAY(Errorlog_table[[#This Row],[Date]]-1)+4),1,1)-2),7)+(7*IF(MOD((DATE(YEAR(Errorlog_table[[#This Row],[Date]]-WEEKDAY(Errorlog_table[[#This Row],[Date]]-1)+4),1,1)-2),7)&gt;3,1,0))+7)</f>
        <v>2025</v>
      </c>
      <c r="E70" s="278">
        <f>VALUE(TEXT(_xlfn.ISOWEEKNUM(Errorlog_table[[#This Row],[Date]]),"00"))</f>
        <v>8</v>
      </c>
      <c r="F70" s="410">
        <f>VALUE((Errorlog_table[[#This Row],[Year]])&amp;TEXT(Errorlog_table[[#This Row],[Week_Number]],"00"))</f>
        <v>202508</v>
      </c>
      <c r="G70" s="384">
        <v>45709</v>
      </c>
      <c r="H70" s="289" t="s">
        <v>437</v>
      </c>
      <c r="I70" s="385" t="s">
        <v>438</v>
      </c>
      <c r="J70" s="396" t="str">
        <f>IF(LEN(VALUE(MID(Errorlog_table[[#This Row],[Description]],FIND(":",Errorlog_table[[#This Row],[Description]])+1,6)))&gt;1,MID(Errorlog_table[[#This Row],[Description]],FIND(":",Errorlog_table[[#This Row],[Description]])+1,6),"")</f>
        <v>110955</v>
      </c>
      <c r="K70" s="289">
        <v>2.5499999999999998</v>
      </c>
      <c r="L70" s="289" t="s">
        <v>114</v>
      </c>
      <c r="M70" s="293">
        <v>53064450</v>
      </c>
      <c r="N70" s="293" t="s">
        <v>271</v>
      </c>
      <c r="O70" s="281" t="str">
        <f t="shared" si="4"/>
        <v>P853275</v>
      </c>
      <c r="P70" s="277">
        <f>LEN(Errorlog_table[[#This Row],[AIR]])</f>
        <v>7</v>
      </c>
      <c r="Q70" cm="1">
        <f t="array" ref="Q70">IF(OR(Errorlog_table[[#This Row],[AIR]]="n/a",Errorlog_table[[#This Row],[Event_code]]="Y"),"n/a",IF(Errorlog_table[[#This Row],[AIR]]="","no AIR",_xlfn.XLOOKUP(Errorlog_table[[#This Row],[AIR]],AIR_dump[[#All],[Number]],AIR_dump[[#All],[Type]],"not found",0,1)))</f>
        <v>0</v>
      </c>
      <c r="R70" s="283" t="str" cm="1">
        <f t="array" ref="R70">IF(OR(Errorlog_table[[#This Row],[AIR]]="n/a",Errorlog_table[[#This Row],[Event_code]]="Y"),"n/a",IF(Errorlog_table[[#This Row],[AIR]]="","no AIR",_xlfn.XLOOKUP(Errorlog_table[[#This Row],[AIR]],AIR_dump[[#All],[Number]],AIR_dump[[#All],[Summary]],"not found",0,1)))</f>
        <v>P853275 - NXE:3800E and EXE:5000 Destination Violation Error ZH-221D</v>
      </c>
      <c r="S70" s="347" t="str" cm="1">
        <f t="array" ref="S70">_xlfn.XLOOKUP(Errorlog_table[[#This Row],[AIR]],AIR_dump[[#All],[Number]],AIR_dump[[#All],[Close notes]])</f>
        <v>Firmware delivered W19 (COB swap done)</v>
      </c>
      <c r="T70" s="372">
        <f>Errorlog_table[[#This Row],[Year_Week_Number]]</f>
        <v>202508</v>
      </c>
      <c r="U70" s="284" t="s">
        <v>230</v>
      </c>
      <c r="V70" s="284" t="s">
        <v>230</v>
      </c>
      <c r="W70" s="307" t="str">
        <f>Errorlog_table[[#This Row],[System]]</f>
        <v>GY86</v>
      </c>
      <c r="X70" s="347" t="str">
        <f>Errorlog_table[[#This Row],[link]]</f>
        <v>P853275</v>
      </c>
      <c r="Y70" s="277" t="str">
        <f>Errorlog_table[[#This Row],[Root_Error]]</f>
        <v>ZF-4392</v>
      </c>
      <c r="Z70" s="293" t="str">
        <f>Errorlog_table[[#This Row],[Description]]</f>
        <v>EpmID:110955| SCN - Lot abort ZF-4392 | ZF-4392 |</v>
      </c>
      <c r="AA70" s="293" t="str">
        <f t="shared" si="3"/>
        <v>Short down</v>
      </c>
      <c r="AB70" s="315">
        <f ca="1">_xlfn.ISOWEEKNUM(Errorlog_table[[#This Row],[Date]])+52*(Errorlog_table[[#This Row],[Year]]-YEAR(DATE(YEAR(TODAY()-WEEKDAY(TODAY()-1)+4),1,1)-MOD((DATE(YEAR(TODAY()-WEEKDAY(TODAY()-1)+4),1,1)-2),7)+(7*IF(MOD((DATE(YEAR(TODAY()-WEEKDAY(TODAY()-1)+4),1,1)-2),7)&gt;3,1,0))+7) )-_xlfn.ISOWEEKNUM(NOW())</f>
        <v>-29</v>
      </c>
      <c r="AC70" s="293">
        <f>COUNTIF(MTBF_pareto[AIR],Errorlog_table[[#This Row],[AIR]])</f>
        <v>0</v>
      </c>
      <c r="AD70" s="306" t="str">
        <f>TEXT(Errorlog_table[[#This Row],[Date]],"yyyy-mm-dd")&amp;"_"&amp;TEXT(Errorlog_table[[#This Row],[SDT_Timestamp]],"HH:MM:SS")&amp;"_"&amp;Errorlog_table[[#This Row],[System]]</f>
        <v>2025-02-21_04:01:00_GY86</v>
      </c>
      <c r="AE70" s="287" t="str">
        <f>Errorlog_table[[#This Row],[P_Hits]]</f>
        <v>Y</v>
      </c>
      <c r="AF70" s="287">
        <v>0</v>
      </c>
    </row>
    <row r="71" spans="1:32" ht="15">
      <c r="A71" s="287" t="s">
        <v>7</v>
      </c>
      <c r="B71" s="293" t="str">
        <f>VLOOKUP(A71,'5000_Fleet'!A:D,2,FALSE)</f>
        <v>Intel</v>
      </c>
      <c r="C71" s="287" t="s">
        <v>399</v>
      </c>
      <c r="D71" s="287">
        <f>YEAR(DATE(YEAR(Errorlog_table[[#This Row],[Date]]-WEEKDAY(Errorlog_table[[#This Row],[Date]]-1)+4),1,1)-MOD((DATE(YEAR(Errorlog_table[[#This Row],[Date]]-WEEKDAY(Errorlog_table[[#This Row],[Date]]-1)+4),1,1)-2),7)+(7*IF(MOD((DATE(YEAR(Errorlog_table[[#This Row],[Date]]-WEEKDAY(Errorlog_table[[#This Row],[Date]]-1)+4),1,1)-2),7)&gt;3,1,0))+7)</f>
        <v>2025</v>
      </c>
      <c r="E71" s="278">
        <f>VALUE(TEXT(_xlfn.ISOWEEKNUM(Errorlog_table[[#This Row],[Date]]),"00"))</f>
        <v>8</v>
      </c>
      <c r="F71" s="410">
        <f>VALUE((Errorlog_table[[#This Row],[Year]])&amp;TEXT(Errorlog_table[[#This Row],[Week_Number]],"00"))</f>
        <v>202508</v>
      </c>
      <c r="G71" s="399">
        <v>45711</v>
      </c>
      <c r="H71" s="374">
        <v>0.625</v>
      </c>
      <c r="I71" s="289" t="s">
        <v>447</v>
      </c>
      <c r="J71" s="395" t="str">
        <f>IF(LEN(VALUE(MID(Errorlog_table[[#This Row],[Description]],FIND(":",Errorlog_table[[#This Row],[Description]])+1,6)))&gt;1,MID(Errorlog_table[[#This Row],[Description]],FIND(":",Errorlog_table[[#This Row],[Description]])+1,6),"")</f>
        <v>111037</v>
      </c>
      <c r="K71" s="296"/>
      <c r="L71" s="293" t="s">
        <v>10</v>
      </c>
      <c r="M71" s="293">
        <v>53065474</v>
      </c>
      <c r="N71" s="293" t="s">
        <v>402</v>
      </c>
      <c r="O71" s="281" t="str">
        <f t="shared" si="4"/>
        <v>P823264</v>
      </c>
      <c r="P71" s="277">
        <f>LEN(Errorlog_table[[#This Row],[AIR]])</f>
        <v>7</v>
      </c>
      <c r="Q71" cm="1">
        <f t="array" ref="Q71">IF(OR(Errorlog_table[[#This Row],[AIR]]="n/a",Errorlog_table[[#This Row],[Event_code]]="Y"),"n/a",IF(Errorlog_table[[#This Row],[AIR]]="","no AIR",_xlfn.XLOOKUP(Errorlog_table[[#This Row],[AIR]],AIR_dump[[#All],[Number]],AIR_dump[[#All],[Type]],"not found",0,1)))</f>
        <v>0</v>
      </c>
      <c r="R71" s="283" t="str" cm="1">
        <f t="array" ref="R71">IF(OR(Errorlog_table[[#This Row],[AIR]]="n/a",Errorlog_table[[#This Row],[Event_code]]="Y"),"n/a",IF(Errorlog_table[[#This Row],[AIR]]="","no AIR",_xlfn.XLOOKUP(Errorlog_table[[#This Row],[AIR]],AIR_dump[[#All],[Number]],AIR_dump[[#All],[Summary]],"not found",0,1)))</f>
        <v>Reticle Inventory fails due to 2DBCR cannot read barcode</v>
      </c>
      <c r="S71" s="347" t="str" cm="1">
        <f t="array" ref="S71">_xlfn.XLOOKUP(Errorlog_table[[#This Row],[AIR]],AIR_dump[[#All],[Number]],AIR_dump[[#All],[Close notes]])</f>
        <v>Working on diagnostic patch to continue RCA</v>
      </c>
      <c r="T71" s="347">
        <f>Errorlog_table[[#This Row],[Year_Week_Number]]</f>
        <v>202508</v>
      </c>
      <c r="U71" s="307" t="s">
        <v>239</v>
      </c>
      <c r="V71" s="284" t="s">
        <v>230</v>
      </c>
      <c r="W71" s="307" t="str">
        <f>Errorlog_table[[#This Row],[System]]</f>
        <v>GY86</v>
      </c>
      <c r="X71" s="347" t="str">
        <f>Errorlog_table[[#This Row],[link]]</f>
        <v>P823264</v>
      </c>
      <c r="Y71" s="277" t="str">
        <f>Errorlog_table[[#This Row],[Root_Error]]</f>
        <v>RH-C177</v>
      </c>
      <c r="Z71" s="293" t="str">
        <f>Errorlog_table[[#This Row],[Description]]</f>
        <v>EpmID:111037| SCN - Reticle handler task faliure RH-9DDE | RH-9DDE |</v>
      </c>
      <c r="AA71" s="293" t="str">
        <f t="shared" si="3"/>
        <v>Short down</v>
      </c>
      <c r="AB71" s="315">
        <f ca="1">_xlfn.ISOWEEKNUM(Errorlog_table[[#This Row],[Date]])+52*(Errorlog_table[[#This Row],[Year]]-YEAR(DATE(YEAR(TODAY()-WEEKDAY(TODAY()-1)+4),1,1)-MOD((DATE(YEAR(TODAY()-WEEKDAY(TODAY()-1)+4),1,1)-2),7)+(7*IF(MOD((DATE(YEAR(TODAY()-WEEKDAY(TODAY()-1)+4),1,1)-2),7)&gt;3,1,0))+7) )-_xlfn.ISOWEEKNUM(NOW())</f>
        <v>-29</v>
      </c>
      <c r="AC71" s="293">
        <f>COUNTIF(MTBF_pareto[AIR],Errorlog_table[[#This Row],[AIR]])</f>
        <v>0</v>
      </c>
      <c r="AD71" s="306" t="str">
        <f>TEXT(Errorlog_table[[#This Row],[Date]],"yyyy-mm-dd")&amp;"_"&amp;TEXT(Errorlog_table[[#This Row],[SDT_Timestamp]],"HH:MM:SS")&amp;"_"&amp;Errorlog_table[[#This Row],[System]]</f>
        <v>2025-02-23_15:00:00_GY86</v>
      </c>
      <c r="AE71" s="287" t="str">
        <f>Errorlog_table[[#This Row],[P_Hits]]</f>
        <v>N</v>
      </c>
      <c r="AF71" s="287">
        <v>0</v>
      </c>
    </row>
    <row r="72" spans="1:32" ht="15">
      <c r="A72" s="314" t="s">
        <v>4</v>
      </c>
      <c r="B72" s="293" t="str">
        <f>VLOOKUP(A72,'5000_Fleet'!A:D,2,FALSE)</f>
        <v>Intel</v>
      </c>
      <c r="C72" s="314" t="s">
        <v>441</v>
      </c>
      <c r="D72" s="314">
        <f>YEAR(DATE(YEAR(Errorlog_table[[#This Row],[Date]]-WEEKDAY(Errorlog_table[[#This Row],[Date]]-1)+4),1,1)-MOD((DATE(YEAR(Errorlog_table[[#This Row],[Date]]-WEEKDAY(Errorlog_table[[#This Row],[Date]]-1)+4),1,1)-2),7)+(7*IF(MOD((DATE(YEAR(Errorlog_table[[#This Row],[Date]]-WEEKDAY(Errorlog_table[[#This Row],[Date]]-1)+4),1,1)-2),7)&gt;3,1,0))+7)</f>
        <v>2025</v>
      </c>
      <c r="E72" s="278">
        <f>VALUE(TEXT(_xlfn.ISOWEEKNUM(Errorlog_table[[#This Row],[Date]]),"00"))</f>
        <v>9</v>
      </c>
      <c r="F72" s="410">
        <f>VALUE((Errorlog_table[[#This Row],[Year]])&amp;TEXT(Errorlog_table[[#This Row],[Week_Number]],"00"))</f>
        <v>202509</v>
      </c>
      <c r="G72" s="399">
        <v>45712</v>
      </c>
      <c r="H72" s="314" t="s">
        <v>442</v>
      </c>
      <c r="I72" s="314" t="s">
        <v>443</v>
      </c>
      <c r="J72" s="395" t="str">
        <f>IF(LEN(VALUE(MID(Errorlog_table[[#This Row],[Description]],FIND(":",Errorlog_table[[#This Row],[Description]])+1,6)))&gt;1,MID(Errorlog_table[[#This Row],[Description]],FIND(":",Errorlog_table[[#This Row],[Description]])+1,6),"")</f>
        <v>111214</v>
      </c>
      <c r="K72" s="314">
        <v>4.1500000000000004</v>
      </c>
      <c r="L72" s="277" t="s">
        <v>315</v>
      </c>
      <c r="M72" s="293">
        <v>53064691</v>
      </c>
      <c r="N72" s="293" t="s">
        <v>444</v>
      </c>
      <c r="O72" s="281" t="str">
        <f t="shared" si="4"/>
        <v>P860660</v>
      </c>
      <c r="P72" s="277">
        <f>LEN(Errorlog_table[[#This Row],[AIR]])</f>
        <v>7</v>
      </c>
      <c r="Q72" cm="1">
        <f t="array" ref="Q72">IF(OR(Errorlog_table[[#This Row],[AIR]]="n/a",Errorlog_table[[#This Row],[Event_code]]="Y"),"n/a",IF(Errorlog_table[[#This Row],[AIR]]="","no AIR",_xlfn.XLOOKUP(Errorlog_table[[#This Row],[AIR]],AIR_dump[[#All],[Number]],AIR_dump[[#All],[Type]],"not found",0,1)))</f>
        <v>0</v>
      </c>
      <c r="R72" s="283" t="str" cm="1">
        <f t="array" ref="R72">IF(OR(Errorlog_table[[#This Row],[AIR]]="n/a",Errorlog_table[[#This Row],[Event_code]]="Y"),"n/a",IF(Errorlog_table[[#This Row],[AIR]]="","no AIR",_xlfn.XLOOKUP(Errorlog_table[[#This Row],[AIR]],AIR_dump[[#All],[Number]],AIR_dump[[#All],[Summary]],"not found",0,1)))</f>
        <v xml:space="preserve"> [CR51] Lot abort unload fail RU-1B22 after ARR</v>
      </c>
      <c r="S72" s="347" t="str" cm="1">
        <f t="array" ref="S72">_xlfn.XLOOKUP(Errorlog_table[[#This Row],[AIR]],AIR_dump[[#All],[Number]],AIR_dump[[#All],[Close notes]])</f>
        <v>Planned patch W19 to mitigate clamp charge</v>
      </c>
      <c r="T72" s="347">
        <f>Errorlog_table[[#This Row],[Year_Week_Number]]</f>
        <v>202509</v>
      </c>
      <c r="U72" s="307" t="s">
        <v>230</v>
      </c>
      <c r="V72" s="284" t="s">
        <v>230</v>
      </c>
      <c r="W72" s="307" t="str">
        <f>Errorlog_table[[#This Row],[System]]</f>
        <v>CR51</v>
      </c>
      <c r="X72" s="347" t="str">
        <f>Errorlog_table[[#This Row],[link]]</f>
        <v>P860660</v>
      </c>
      <c r="Y72" s="277" t="str">
        <f>Errorlog_table[[#This Row],[Root_Error]]</f>
        <v>RU-1B22</v>
      </c>
      <c r="Z72" s="293" t="str">
        <f>Errorlog_table[[#This Row],[Description]]</f>
        <v>EpmID:111214| SCN - lot abort on RU-1B22 | RU-1b22 |</v>
      </c>
      <c r="AA72" s="293" t="str">
        <f t="shared" si="3"/>
        <v>Short down</v>
      </c>
      <c r="AB72" s="315">
        <f ca="1">_xlfn.ISOWEEKNUM(Errorlog_table[[#This Row],[Date]])+52*(Errorlog_table[[#This Row],[Year]]-YEAR(DATE(YEAR(TODAY()-WEEKDAY(TODAY()-1)+4),1,1)-MOD((DATE(YEAR(TODAY()-WEEKDAY(TODAY()-1)+4),1,1)-2),7)+(7*IF(MOD((DATE(YEAR(TODAY()-WEEKDAY(TODAY()-1)+4),1,1)-2),7)&gt;3,1,0))+7) )-_xlfn.ISOWEEKNUM(NOW())</f>
        <v>-28</v>
      </c>
      <c r="AC72" s="293">
        <f>COUNTIF(MTBF_pareto[AIR],Errorlog_table[[#This Row],[AIR]])</f>
        <v>0</v>
      </c>
      <c r="AD72" s="306" t="str">
        <f>TEXT(Errorlog_table[[#This Row],[Date]],"yyyy-mm-dd")&amp;"_"&amp;TEXT(Errorlog_table[[#This Row],[SDT_Timestamp]],"HH:MM:SS")&amp;"_"&amp;Errorlog_table[[#This Row],[System]]</f>
        <v>2025-02-24_16:35:00_CR51</v>
      </c>
      <c r="AE72" s="287" t="str">
        <f>Errorlog_table[[#This Row],[P_Hits]]</f>
        <v>Y</v>
      </c>
      <c r="AF72" s="287">
        <v>0</v>
      </c>
    </row>
    <row r="73" spans="1:32" ht="28.5">
      <c r="A73" s="493" t="s">
        <v>7</v>
      </c>
      <c r="B73" s="293" t="str">
        <f>VLOOKUP(A73,'5000_Fleet'!A:D,2,FALSE)</f>
        <v>Intel</v>
      </c>
      <c r="C73" s="496" t="s">
        <v>240</v>
      </c>
      <c r="D73" s="496">
        <f>YEAR(DATE(YEAR(Errorlog_table[[#This Row],[Date]]-WEEKDAY(Errorlog_table[[#This Row],[Date]]-1)+4),1,1)-MOD((DATE(YEAR(Errorlog_table[[#This Row],[Date]]-WEEKDAY(Errorlog_table[[#This Row],[Date]]-1)+4),1,1)-2),7)+(7*IF(MOD((DATE(YEAR(Errorlog_table[[#This Row],[Date]]-WEEKDAY(Errorlog_table[[#This Row],[Date]]-1)+4),1,1)-2),7)&gt;3,1,0))+7)</f>
        <v>2025</v>
      </c>
      <c r="E73" s="278">
        <f>VALUE(TEXT(_xlfn.ISOWEEKNUM(Errorlog_table[[#This Row],[Date]]),"00"))</f>
        <v>9</v>
      </c>
      <c r="F73" s="410">
        <f>VALUE((Errorlog_table[[#This Row],[Year]])&amp;TEXT(Errorlog_table[[#This Row],[Week_Number]],"00"))</f>
        <v>202509</v>
      </c>
      <c r="G73" s="399">
        <v>45718</v>
      </c>
      <c r="H73" s="496" t="s">
        <v>445</v>
      </c>
      <c r="I73" s="314" t="s">
        <v>446</v>
      </c>
      <c r="J73" s="347" t="str">
        <f>IF(LEN(VALUE(MID(Errorlog_table[[#This Row],[Description]],FIND(":",Errorlog_table[[#This Row],[Description]])+1,6)))&gt;1,MID(Errorlog_table[[#This Row],[Description]],FIND(":",Errorlog_table[[#This Row],[Description]])+1,6),"")</f>
        <v>111679</v>
      </c>
      <c r="K73" s="496">
        <v>3.8666670000000001</v>
      </c>
      <c r="L73" s="277" t="s">
        <v>321</v>
      </c>
      <c r="M73" s="293">
        <v>53071899</v>
      </c>
      <c r="N73" s="293" t="s">
        <v>243</v>
      </c>
      <c r="O73" s="281" t="str">
        <f t="shared" si="4"/>
        <v>P820381</v>
      </c>
      <c r="P73" s="277">
        <f>LEN(Errorlog_table[[#This Row],[AIR]])</f>
        <v>7</v>
      </c>
      <c r="Q73" cm="1">
        <f t="array" ref="Q73">IF(OR(Errorlog_table[[#This Row],[AIR]]="n/a",Errorlog_table[[#This Row],[Event_code]]="Y"),"n/a",IF(Errorlog_table[[#This Row],[AIR]]="","no AIR",_xlfn.XLOOKUP(Errorlog_table[[#This Row],[AIR]],AIR_dump[[#All],[Number]],AIR_dump[[#All],[Type]],"not found",0,1)))</f>
        <v>0</v>
      </c>
      <c r="R73" s="283" t="str" cm="1">
        <f t="array" ref="R73">IF(OR(Errorlog_table[[#This Row],[AIR]]="n/a",Errorlog_table[[#This Row],[Event_code]]="Y"),"n/a",IF(Errorlog_table[[#This Row],[AIR]]="","no AIR",_xlfn.XLOOKUP(Errorlog_table[[#This Row],[AIR]],AIR_dump[[#All],[Number]],AIR_dump[[#All],[Summary]],"not found",0,1)))</f>
        <v>P820381 - |Proto2| |VHV| |mEX04| Lot Abort Due to DW-56C6 Real Time Sensor Link communication with D</v>
      </c>
      <c r="S73" s="347" t="str" cm="1">
        <f t="array" ref="S73">_xlfn.XLOOKUP(Errorlog_table[[#This Row],[AIR]],AIR_dump[[#All],[Number]],AIR_dump[[#All],[Close notes]])</f>
        <v>Containment in SP22 since not occurred</v>
      </c>
      <c r="T73" s="347">
        <f>Errorlog_table[[#This Row],[Year_Week_Number]]</f>
        <v>202509</v>
      </c>
      <c r="U73" s="307" t="s">
        <v>230</v>
      </c>
      <c r="V73" s="284" t="s">
        <v>230</v>
      </c>
      <c r="W73" s="307" t="str">
        <f>Errorlog_table[[#This Row],[System]]</f>
        <v>GY86</v>
      </c>
      <c r="X73" s="347" t="str">
        <f>Errorlog_table[[#This Row],[link]]</f>
        <v>P820381</v>
      </c>
      <c r="Y73" s="277" t="str">
        <f>Errorlog_table[[#This Row],[Root_Error]]</f>
        <v>DW-56C6</v>
      </c>
      <c r="Z73" s="293" t="str">
        <f>Errorlog_table[[#This Row],[Description]]</f>
        <v>EpmID:111679| SCN - Lot Abort | DW-56C6 |</v>
      </c>
      <c r="AA73" s="293" t="str">
        <f t="shared" si="3"/>
        <v>Short down</v>
      </c>
      <c r="AB73" s="315">
        <f ca="1">_xlfn.ISOWEEKNUM(Errorlog_table[[#This Row],[Date]])+52*(Errorlog_table[[#This Row],[Year]]-YEAR(DATE(YEAR(TODAY()-WEEKDAY(TODAY()-1)+4),1,1)-MOD((DATE(YEAR(TODAY()-WEEKDAY(TODAY()-1)+4),1,1)-2),7)+(7*IF(MOD((DATE(YEAR(TODAY()-WEEKDAY(TODAY()-1)+4),1,1)-2),7)&gt;3,1,0))+7) )-_xlfn.ISOWEEKNUM(NOW())</f>
        <v>-28</v>
      </c>
      <c r="AC73" s="293">
        <f>COUNTIF(MTBF_pareto[AIR],Errorlog_table[[#This Row],[AIR]])</f>
        <v>0</v>
      </c>
      <c r="AD73" s="306" t="str">
        <f>TEXT(Errorlog_table[[#This Row],[Date]],"yyyy-mm-dd")&amp;"_"&amp;TEXT(Errorlog_table[[#This Row],[SDT_Timestamp]],"HH:MM:SS")&amp;"_"&amp;Errorlog_table[[#This Row],[System]]</f>
        <v>2025-03-02_06:46:00_GY86</v>
      </c>
      <c r="AE73" s="287" t="str">
        <f>Errorlog_table[[#This Row],[P_Hits]]</f>
        <v>Y</v>
      </c>
      <c r="AF73" s="287">
        <v>0</v>
      </c>
    </row>
    <row r="74" spans="1:32" ht="15">
      <c r="A74" s="318" t="s">
        <v>4</v>
      </c>
      <c r="B74" s="293" t="str">
        <f>VLOOKUP(A74,'5000_Fleet'!A:D,2,FALSE)</f>
        <v>Intel</v>
      </c>
      <c r="C74" s="314" t="s">
        <v>441</v>
      </c>
      <c r="D74" s="314">
        <f>YEAR(DATE(YEAR(Errorlog_table[[#This Row],[Date]]-WEEKDAY(Errorlog_table[[#This Row],[Date]]-1)+4),1,1)-MOD((DATE(YEAR(Errorlog_table[[#This Row],[Date]]-WEEKDAY(Errorlog_table[[#This Row],[Date]]-1)+4),1,1)-2),7)+(7*IF(MOD((DATE(YEAR(Errorlog_table[[#This Row],[Date]]-WEEKDAY(Errorlog_table[[#This Row],[Date]]-1)+4),1,1)-2),7)&gt;3,1,0))+7)</f>
        <v>2025</v>
      </c>
      <c r="E74" s="278">
        <f>VALUE(TEXT(_xlfn.ISOWEEKNUM(Errorlog_table[[#This Row],[Date]]),"00"))</f>
        <v>10</v>
      </c>
      <c r="F74" s="410">
        <f>VALUE((Errorlog_table[[#This Row],[Year]])&amp;TEXT(Errorlog_table[[#This Row],[Week_Number]],"00"))</f>
        <v>202510</v>
      </c>
      <c r="G74" s="399">
        <v>45724</v>
      </c>
      <c r="H74" s="314" t="s">
        <v>452</v>
      </c>
      <c r="I74" s="314" t="s">
        <v>453</v>
      </c>
      <c r="J74" s="347" t="str">
        <f>IF(LEN(VALUE(MID(Errorlog_table[[#This Row],[Description]],FIND(":",Errorlog_table[[#This Row],[Description]])+1,6)))&gt;1,MID(Errorlog_table[[#This Row],[Description]],FIND(":",Errorlog_table[[#This Row],[Description]])+1,6),"")</f>
        <v>112401</v>
      </c>
      <c r="K74" s="314">
        <v>2.733333</v>
      </c>
      <c r="L74" s="293" t="s">
        <v>454</v>
      </c>
      <c r="M74" s="293">
        <v>53064691</v>
      </c>
      <c r="N74" s="293" t="s">
        <v>444</v>
      </c>
      <c r="O74" s="281" t="str">
        <f t="shared" si="4"/>
        <v>P860660</v>
      </c>
      <c r="P74" s="277">
        <f>LEN(Errorlog_table[[#This Row],[AIR]])</f>
        <v>7</v>
      </c>
      <c r="Q74" cm="1">
        <f t="array" ref="Q74">IF(OR(Errorlog_table[[#This Row],[AIR]]="n/a",Errorlog_table[[#This Row],[Event_code]]="Y"),"n/a",IF(Errorlog_table[[#This Row],[AIR]]="","no AIR",_xlfn.XLOOKUP(Errorlog_table[[#This Row],[AIR]],AIR_dump[[#All],[Number]],AIR_dump[[#All],[Type]],"not found",0,1)))</f>
        <v>0</v>
      </c>
      <c r="R74" s="283" t="str" cm="1">
        <f t="array" ref="R74">IF(OR(Errorlog_table[[#This Row],[AIR]]="n/a",Errorlog_table[[#This Row],[Event_code]]="Y"),"n/a",IF(Errorlog_table[[#This Row],[AIR]]="","no AIR",_xlfn.XLOOKUP(Errorlog_table[[#This Row],[AIR]],AIR_dump[[#All],[Number]],AIR_dump[[#All],[Summary]],"not found",0,1)))</f>
        <v xml:space="preserve"> [CR51] Lot abort unload fail RU-1B22 after ARR</v>
      </c>
      <c r="S74" s="347" t="str" cm="1">
        <f t="array" ref="S74">_xlfn.XLOOKUP(Errorlog_table[[#This Row],[AIR]],AIR_dump[[#All],[Number]],AIR_dump[[#All],[Close notes]])</f>
        <v>Planned patch W19 to mitigate clamp charge</v>
      </c>
      <c r="T74" s="347">
        <f>Errorlog_table[[#This Row],[Year_Week_Number]]</f>
        <v>202510</v>
      </c>
      <c r="U74" s="307" t="s">
        <v>230</v>
      </c>
      <c r="V74" s="284" t="s">
        <v>230</v>
      </c>
      <c r="W74" s="307" t="str">
        <f>Errorlog_table[[#This Row],[System]]</f>
        <v>CR51</v>
      </c>
      <c r="X74" s="347" t="str">
        <f>Errorlog_table[[#This Row],[link]]</f>
        <v>P860660</v>
      </c>
      <c r="Y74" s="277" t="str">
        <f>Errorlog_table[[#This Row],[Root_Error]]</f>
        <v>RU-1B22</v>
      </c>
      <c r="Z74" s="293" t="str">
        <f>Errorlog_table[[#This Row],[Description]]</f>
        <v>EpmID:112401| SCN - lot abort RU-1B22 | RU-1B22 |</v>
      </c>
      <c r="AA74" s="293" t="str">
        <f t="shared" si="3"/>
        <v>Short down</v>
      </c>
      <c r="AB74" s="315">
        <f ca="1">_xlfn.ISOWEEKNUM(Errorlog_table[[#This Row],[Date]])+52*(Errorlog_table[[#This Row],[Year]]-YEAR(DATE(YEAR(TODAY()-WEEKDAY(TODAY()-1)+4),1,1)-MOD((DATE(YEAR(TODAY()-WEEKDAY(TODAY()-1)+4),1,1)-2),7)+(7*IF(MOD((DATE(YEAR(TODAY()-WEEKDAY(TODAY()-1)+4),1,1)-2),7)&gt;3,1,0))+7) )-_xlfn.ISOWEEKNUM(NOW())</f>
        <v>-27</v>
      </c>
      <c r="AC74" s="293">
        <f>COUNTIF(MTBF_pareto[AIR],Errorlog_table[[#This Row],[AIR]])</f>
        <v>0</v>
      </c>
      <c r="AD74" s="306" t="str">
        <f>TEXT(Errorlog_table[[#This Row],[Date]],"yyyy-mm-dd")&amp;"_"&amp;TEXT(Errorlog_table[[#This Row],[SDT_Timestamp]],"HH:MM:SS")&amp;"_"&amp;Errorlog_table[[#This Row],[System]]</f>
        <v>2025-03-08_15:40:00_CR51</v>
      </c>
      <c r="AE74" s="287" t="str">
        <f>Errorlog_table[[#This Row],[P_Hits]]</f>
        <v>Y</v>
      </c>
      <c r="AF74" s="287">
        <v>0</v>
      </c>
    </row>
    <row r="75" spans="1:32" ht="15">
      <c r="A75" s="494" t="s">
        <v>4</v>
      </c>
      <c r="B75" s="277" t="str">
        <f>VLOOKUP(A75,'5000_Fleet'!A:D,2,FALSE)</f>
        <v>Intel</v>
      </c>
      <c r="C75" s="314" t="s">
        <v>448</v>
      </c>
      <c r="D75" s="314">
        <f>YEAR(DATE(YEAR(Errorlog_table[[#This Row],[Date]]-WEEKDAY(Errorlog_table[[#This Row],[Date]]-1)+4),1,1)-MOD((DATE(YEAR(Errorlog_table[[#This Row],[Date]]-WEEKDAY(Errorlog_table[[#This Row],[Date]]-1)+4),1,1)-2),7)+(7*IF(MOD((DATE(YEAR(Errorlog_table[[#This Row],[Date]]-WEEKDAY(Errorlog_table[[#This Row],[Date]]-1)+4),1,1)-2),7)&gt;3,1,0))+7)</f>
        <v>2025</v>
      </c>
      <c r="E75" s="278">
        <f>VALUE(TEXT(_xlfn.ISOWEEKNUM(Errorlog_table[[#This Row],[Date]]),"00"))</f>
        <v>10</v>
      </c>
      <c r="F75" s="410">
        <f>VALUE((Errorlog_table[[#This Row],[Year]])&amp;TEXT(Errorlog_table[[#This Row],[Week_Number]],"00"))</f>
        <v>202510</v>
      </c>
      <c r="G75" s="399">
        <v>45725</v>
      </c>
      <c r="H75" s="314" t="s">
        <v>449</v>
      </c>
      <c r="I75" s="314" t="s">
        <v>450</v>
      </c>
      <c r="J75" s="347" t="str">
        <f>IF(LEN(VALUE(MID(Errorlog_table[[#This Row],[Description]],FIND(":",Errorlog_table[[#This Row],[Description]])+1,6)))&gt;1,MID(Errorlog_table[[#This Row],[Description]],FIND(":",Errorlog_table[[#This Row],[Description]])+1,6),"")</f>
        <v>112410</v>
      </c>
      <c r="K75" s="314">
        <v>6.2625000000000002</v>
      </c>
      <c r="L75" s="277" t="s">
        <v>315</v>
      </c>
      <c r="M75" s="293">
        <v>53078920</v>
      </c>
      <c r="N75" s="293" t="s">
        <v>451</v>
      </c>
      <c r="O75" s="281" t="str">
        <f t="shared" si="4"/>
        <v>P844973</v>
      </c>
      <c r="P75" s="277">
        <f>LEN(Errorlog_table[[#This Row],[AIR]])</f>
        <v>7</v>
      </c>
      <c r="Q75" cm="1">
        <f t="array" ref="Q75">IF(OR(Errorlog_table[[#This Row],[AIR]]="n/a",Errorlog_table[[#This Row],[Event_code]]="Y"),"n/a",IF(Errorlog_table[[#This Row],[AIR]]="","no AIR",_xlfn.XLOOKUP(Errorlog_table[[#This Row],[AIR]],AIR_dump[[#All],[Number]],AIR_dump[[#All],[Type]],"not found",0,1)))</f>
        <v>0</v>
      </c>
      <c r="R75" s="282" t="str" cm="1">
        <f t="array" ref="R75">IF(OR(Errorlog_table[[#This Row],[AIR]]="n/a",Errorlog_table[[#This Row],[Event_code]]="Y"),"n/a",IF(Errorlog_table[[#This Row],[AIR]]="","no AIR",_xlfn.XLOOKUP(Errorlog_table[[#This Row],[AIR]],AIR_dump[[#All],[Number]],AIR_dump[[#All],[Summary]],"not found",0,1)))</f>
        <v xml:space="preserve"> [PBS18823] WS ZJM Delivery</v>
      </c>
      <c r="S75" s="347" t="str" cm="1">
        <f t="array" ref="S75">_xlfn.XLOOKUP(Errorlog_table[[#This Row],[AIR]],AIR_dump[[#All],[Number]],AIR_dump[[#All],[Close notes]])</f>
        <v>WS ZJM delivery PBS 18823/SP23</v>
      </c>
      <c r="T75" s="347">
        <f>Errorlog_table[[#This Row],[Year_Week_Number]]</f>
        <v>202510</v>
      </c>
      <c r="U75" s="285" t="s">
        <v>230</v>
      </c>
      <c r="V75" s="284" t="s">
        <v>230</v>
      </c>
      <c r="W75" s="285" t="str">
        <f>Errorlog_table[[#This Row],[System]]</f>
        <v>CR51</v>
      </c>
      <c r="X75" s="366" t="str">
        <f>Errorlog_table[[#This Row],[link]]</f>
        <v>P844973</v>
      </c>
      <c r="Y75" s="277" t="str">
        <f>Errorlog_table[[#This Row],[Root_Error]]</f>
        <v>IS-1367</v>
      </c>
      <c r="Z75" s="277" t="str">
        <f>Errorlog_table[[#This Row],[Description]]</f>
        <v>EpmID:112410| SCN - Lot abort TIS scan failed | IS-1367 |</v>
      </c>
      <c r="AA75" s="277" t="str">
        <f t="shared" si="3"/>
        <v>Short down</v>
      </c>
      <c r="AB75" s="278">
        <f ca="1">_xlfn.ISOWEEKNUM(Errorlog_table[[#This Row],[Date]])+52*(Errorlog_table[[#This Row],[Year]]-YEAR(DATE(YEAR(TODAY()-WEEKDAY(TODAY()-1)+4),1,1)-MOD((DATE(YEAR(TODAY()-WEEKDAY(TODAY()-1)+4),1,1)-2),7)+(7*IF(MOD((DATE(YEAR(TODAY()-WEEKDAY(TODAY()-1)+4),1,1)-2),7)&gt;3,1,0))+7) )-_xlfn.ISOWEEKNUM(NOW())</f>
        <v>-27</v>
      </c>
      <c r="AC75" s="277">
        <f>COUNTIF(MTBF_pareto[AIR],Errorlog_table[[#This Row],[AIR]])</f>
        <v>0</v>
      </c>
      <c r="AD75" s="306" t="str">
        <f>TEXT(Errorlog_table[[#This Row],[Date]],"yyyy-mm-dd")&amp;"_"&amp;TEXT(Errorlog_table[[#This Row],[SDT_Timestamp]],"HH:MM:SS")&amp;"_"&amp;Errorlog_table[[#This Row],[System]]</f>
        <v>2025-03-09_20:34:00_CR51</v>
      </c>
      <c r="AE75" s="287" t="str">
        <f>Errorlog_table[[#This Row],[P_Hits]]</f>
        <v>Y</v>
      </c>
      <c r="AF75" s="287">
        <v>0</v>
      </c>
    </row>
    <row r="76" spans="1:32" ht="28.5">
      <c r="A76" s="400" t="s">
        <v>4</v>
      </c>
      <c r="B76" s="277" t="str">
        <f>VLOOKUP(A76,'5000_Fleet'!A:D,2,FALSE)</f>
        <v>Intel</v>
      </c>
      <c r="C76" s="314" t="s">
        <v>455</v>
      </c>
      <c r="D76" s="314">
        <f>YEAR(DATE(YEAR(Errorlog_table[[#This Row],[Date]]-WEEKDAY(Errorlog_table[[#This Row],[Date]]-1)+4),1,1)-MOD((DATE(YEAR(Errorlog_table[[#This Row],[Date]]-WEEKDAY(Errorlog_table[[#This Row],[Date]]-1)+4),1,1)-2),7)+(7*IF(MOD((DATE(YEAR(Errorlog_table[[#This Row],[Date]]-WEEKDAY(Errorlog_table[[#This Row],[Date]]-1)+4),1,1)-2),7)&gt;3,1,0))+7)</f>
        <v>2025</v>
      </c>
      <c r="E76" s="278">
        <f>VALUE(TEXT(_xlfn.ISOWEEKNUM(Errorlog_table[[#This Row],[Date]]),"00"))</f>
        <v>10</v>
      </c>
      <c r="F76" s="410">
        <f>VALUE((Errorlog_table[[#This Row],[Year]])&amp;TEXT(Errorlog_table[[#This Row],[Week_Number]],"00"))</f>
        <v>202510</v>
      </c>
      <c r="G76" s="399">
        <v>45725</v>
      </c>
      <c r="H76" s="314" t="s">
        <v>456</v>
      </c>
      <c r="I76" s="314" t="s">
        <v>457</v>
      </c>
      <c r="J76" s="401" t="str">
        <f>IF(LEN(VALUE(MID(Errorlog_table[[#This Row],[Description]],FIND(":",Errorlog_table[[#This Row],[Description]])+1,6)))&gt;1,MID(Errorlog_table[[#This Row],[Description]],FIND(":",Errorlog_table[[#This Row],[Description]])+1,6),"")</f>
        <v>112393</v>
      </c>
      <c r="K76" s="314">
        <v>1.733333</v>
      </c>
      <c r="L76" s="277" t="s">
        <v>458</v>
      </c>
      <c r="M76" s="293">
        <v>53078276</v>
      </c>
      <c r="N76" s="293" t="s">
        <v>459</v>
      </c>
      <c r="O76" s="281" t="str">
        <f t="shared" si="4"/>
        <v>P866623</v>
      </c>
      <c r="P76" s="277">
        <f>LEN(Errorlog_table[[#This Row],[AIR]])</f>
        <v>7</v>
      </c>
      <c r="Q76" cm="1">
        <f t="array" ref="Q76">IF(OR(Errorlog_table[[#This Row],[AIR]]="n/a",Errorlog_table[[#This Row],[Event_code]]="Y"),"n/a",IF(Errorlog_table[[#This Row],[AIR]]="","no AIR",_xlfn.XLOOKUP(Errorlog_table[[#This Row],[AIR]],AIR_dump[[#All],[Number]],AIR_dump[[#All],[Type]],"not found",0,1)))</f>
        <v>0</v>
      </c>
      <c r="R76" s="282" t="str" cm="1">
        <f t="array" ref="R76">IF(OR(Errorlog_table[[#This Row],[AIR]]="n/a",Errorlog_table[[#This Row],[Event_code]]="Y"),"n/a",IF(Errorlog_table[[#This Row],[AIR]]="","no AIR",_xlfn.XLOOKUP(Errorlog_table[[#This Row],[AIR]],AIR_dump[[#All],[Number]],AIR_dump[[#All],[Summary]],"not found",0,1)))</f>
        <v>RS related lot abort | RQ-F000 | (03/09/2025 03:09:56.4002 RQ-F000 E</v>
      </c>
      <c r="S76" s="347" t="str" cm="1">
        <f t="array" ref="S76">_xlfn.XLOOKUP(Errorlog_table[[#This Row],[AIR]],AIR_dump[[#All],[Number]],AIR_dump[[#All],[Close notes]])</f>
        <v>RCA</v>
      </c>
      <c r="T76" s="347">
        <f>Errorlog_table[[#This Row],[Year_Week_Number]]</f>
        <v>202510</v>
      </c>
      <c r="U76" s="285" t="s">
        <v>230</v>
      </c>
      <c r="V76" s="284" t="s">
        <v>230</v>
      </c>
      <c r="W76" s="285" t="str">
        <f>Errorlog_table[[#This Row],[System]]</f>
        <v>CR51</v>
      </c>
      <c r="X76" s="366" t="str">
        <f>Errorlog_table[[#This Row],[link]]</f>
        <v>P866623</v>
      </c>
      <c r="Y76" s="277" t="str">
        <f>Errorlog_table[[#This Row],[Root_Error]]</f>
        <v>RQ-F000</v>
      </c>
      <c r="Z76" s="277" t="str">
        <f>Errorlog_table[[#This Row],[Description]]</f>
        <v>EpmID:112393| SCN - RS related lot abort | RQ-F000 | (03/09/2025  03:09:56.4002  RQ-F000 Error of state-machine RQRRNE.APP.RS')</v>
      </c>
      <c r="AA76" s="277" t="str">
        <f t="shared" si="3"/>
        <v>Short down</v>
      </c>
      <c r="AB76" s="278">
        <f ca="1">_xlfn.ISOWEEKNUM(Errorlog_table[[#This Row],[Date]])+52*(Errorlog_table[[#This Row],[Year]]-YEAR(DATE(YEAR(TODAY()-WEEKDAY(TODAY()-1)+4),1,1)-MOD((DATE(YEAR(TODAY()-WEEKDAY(TODAY()-1)+4),1,1)-2),7)+(7*IF(MOD((DATE(YEAR(TODAY()-WEEKDAY(TODAY()-1)+4),1,1)-2),7)&gt;3,1,0))+7) )-_xlfn.ISOWEEKNUM(NOW())</f>
        <v>-27</v>
      </c>
      <c r="AC76" s="277">
        <f>COUNTIF(MTBF_pareto[AIR],Errorlog_table[[#This Row],[AIR]])</f>
        <v>0</v>
      </c>
      <c r="AD76" s="306" t="str">
        <f>TEXT(Errorlog_table[[#This Row],[Date]],"yyyy-mm-dd")&amp;"_"&amp;TEXT(Errorlog_table[[#This Row],[SDT_Timestamp]],"HH:MM:SS")&amp;"_"&amp;Errorlog_table[[#This Row],[System]]</f>
        <v>2025-03-09_03:53:00_CR51</v>
      </c>
      <c r="AE76" s="287" t="str">
        <f>Errorlog_table[[#This Row],[P_Hits]]</f>
        <v>Y</v>
      </c>
      <c r="AF76" s="287">
        <v>0</v>
      </c>
    </row>
    <row r="77" spans="1:32" ht="28.5">
      <c r="A77" s="314" t="s">
        <v>7</v>
      </c>
      <c r="B77" s="293" t="str">
        <f>VLOOKUP(A77,'5000_Fleet'!A:D,2,FALSE)</f>
        <v>Intel</v>
      </c>
      <c r="C77" s="314" t="s">
        <v>466</v>
      </c>
      <c r="D77" s="314">
        <f>YEAR(DATE(YEAR(Errorlog_table[[#This Row],[Date]]-WEEKDAY(Errorlog_table[[#This Row],[Date]]-1)+4),1,1)-MOD((DATE(YEAR(Errorlog_table[[#This Row],[Date]]-WEEKDAY(Errorlog_table[[#This Row],[Date]]-1)+4),1,1)-2),7)+(7*IF(MOD((DATE(YEAR(Errorlog_table[[#This Row],[Date]]-WEEKDAY(Errorlog_table[[#This Row],[Date]]-1)+4),1,1)-2),7)&gt;3,1,0))+7)</f>
        <v>2025</v>
      </c>
      <c r="E77" s="278">
        <f>VALUE(TEXT(_xlfn.ISOWEEKNUM(Errorlog_table[[#This Row],[Date]]),"00"))</f>
        <v>11</v>
      </c>
      <c r="F77" s="410">
        <f>VALUE((Errorlog_table[[#This Row],[Year]])&amp;TEXT(Errorlog_table[[#This Row],[Week_Number]],"00"))</f>
        <v>202511</v>
      </c>
      <c r="G77" s="399">
        <v>45726</v>
      </c>
      <c r="H77" s="314" t="s">
        <v>467</v>
      </c>
      <c r="I77" s="314" t="s">
        <v>468</v>
      </c>
      <c r="J77" s="347" t="str">
        <f>IF(LEN(VALUE(MID(Errorlog_table[[#This Row],[Description]],FIND(":",Errorlog_table[[#This Row],[Description]])+1,6)))&gt;1,MID(Errorlog_table[[#This Row],[Description]],FIND(":",Errorlog_table[[#This Row],[Description]])+1,6),"")</f>
        <v>112437</v>
      </c>
      <c r="K77" s="314">
        <v>0.2</v>
      </c>
      <c r="L77" s="277" t="s">
        <v>10</v>
      </c>
      <c r="M77" s="293">
        <v>53079553</v>
      </c>
      <c r="N77" s="368" t="s">
        <v>469</v>
      </c>
      <c r="O77" s="281" t="str">
        <f t="shared" si="4"/>
        <v>P815894</v>
      </c>
      <c r="P77" s="277">
        <f>LEN(Errorlog_table[[#This Row],[AIR]])</f>
        <v>7</v>
      </c>
      <c r="Q77" cm="1">
        <f t="array" ref="Q77">IF(OR(Errorlog_table[[#This Row],[AIR]]="n/a",Errorlog_table[[#This Row],[Event_code]]="Y"),"n/a",IF(Errorlog_table[[#This Row],[AIR]]="","no AIR",_xlfn.XLOOKUP(Errorlog_table[[#This Row],[AIR]],AIR_dump[[#All],[Number]],AIR_dump[[#All],[Type]],"not found",0,1)))</f>
        <v>0</v>
      </c>
      <c r="R77" s="283" t="str" cm="1">
        <f t="array" ref="R77">IF(OR(Errorlog_table[[#This Row],[AIR]]="n/a",Errorlog_table[[#This Row],[Event_code]]="Y"),"n/a",IF(Errorlog_table[[#This Row],[AIR]]="","no AIR",_xlfn.XLOOKUP(Errorlog_table[[#This Row],[AIR]],AIR_dump[[#All],[Number]],AIR_dump[[#All],[Summary]],"not found",0,1)))</f>
        <v>[Proto2][SCN]  Full drivers init keeps failing on WHAS  DisEntangExt due to  PG-7406 SUB CODE: [[X1:0xFB7CE5A9</v>
      </c>
      <c r="S77" s="347" t="str" cm="1">
        <f t="array" ref="S77">_xlfn.XLOOKUP(Errorlog_table[[#This Row],[AIR]],AIR_dump[[#All],[Number]],AIR_dump[[#All],[Close notes]])</f>
        <v>PCS WZ-0D04</v>
      </c>
      <c r="T77" s="347">
        <f>Errorlog_table[[#This Row],[Year_Week_Number]]</f>
        <v>202511</v>
      </c>
      <c r="U77" s="307" t="s">
        <v>239</v>
      </c>
      <c r="V77" s="284" t="s">
        <v>230</v>
      </c>
      <c r="W77" s="307" t="str">
        <f>Errorlog_table[[#This Row],[System]]</f>
        <v>GY86</v>
      </c>
      <c r="X77" s="347" t="str">
        <f>Errorlog_table[[#This Row],[link]]</f>
        <v>P815894</v>
      </c>
      <c r="Y77" s="277" t="str">
        <f>Errorlog_table[[#This Row],[Root_Error]]</f>
        <v>CN-00AF</v>
      </c>
      <c r="Z77" s="293" t="str">
        <f>Errorlog_table[[#This Row],[Description]]</f>
        <v>EpmID:112437| SCN - WHFF Failed | CN-00AF |</v>
      </c>
      <c r="AA77" s="293" t="str">
        <f t="shared" si="3"/>
        <v>Short down</v>
      </c>
      <c r="AB77" s="315">
        <f ca="1">_xlfn.ISOWEEKNUM(Errorlog_table[[#This Row],[Date]])+52*(Errorlog_table[[#This Row],[Year]]-YEAR(DATE(YEAR(TODAY()-WEEKDAY(TODAY()-1)+4),1,1)-MOD((DATE(YEAR(TODAY()-WEEKDAY(TODAY()-1)+4),1,1)-2),7)+(7*IF(MOD((DATE(YEAR(TODAY()-WEEKDAY(TODAY()-1)+4),1,1)-2),7)&gt;3,1,0))+7) )-_xlfn.ISOWEEKNUM(NOW())</f>
        <v>-26</v>
      </c>
      <c r="AC77" s="293">
        <f>COUNTIF(MTBF_pareto[AIR],Errorlog_table[[#This Row],[AIR]])</f>
        <v>0</v>
      </c>
      <c r="AD77" s="306" t="str">
        <f>TEXT(Errorlog_table[[#This Row],[Date]],"yyyy-mm-dd")&amp;"_"&amp;TEXT(Errorlog_table[[#This Row],[SDT_Timestamp]],"HH:MM:SS")&amp;"_"&amp;Errorlog_table[[#This Row],[System]]</f>
        <v>2025-03-10_04:08:00_GY86</v>
      </c>
      <c r="AE77" s="287" t="str">
        <f>Errorlog_table[[#This Row],[P_Hits]]</f>
        <v>N</v>
      </c>
      <c r="AF77" s="287">
        <v>0</v>
      </c>
    </row>
    <row r="78" spans="1:32" ht="28.5">
      <c r="A78" s="314" t="s">
        <v>7</v>
      </c>
      <c r="B78" s="277" t="str">
        <f>VLOOKUP(A78,'5000_Fleet'!A:D,2,FALSE)</f>
        <v>Intel</v>
      </c>
      <c r="C78" s="314" t="s">
        <v>251</v>
      </c>
      <c r="D78" s="314">
        <f>YEAR(DATE(YEAR(Errorlog_table[[#This Row],[Date]]-WEEKDAY(Errorlog_table[[#This Row],[Date]]-1)+4),1,1)-MOD((DATE(YEAR(Errorlog_table[[#This Row],[Date]]-WEEKDAY(Errorlog_table[[#This Row],[Date]]-1)+4),1,1)-2),7)+(7*IF(MOD((DATE(YEAR(Errorlog_table[[#This Row],[Date]]-WEEKDAY(Errorlog_table[[#This Row],[Date]]-1)+4),1,1)-2),7)&gt;3,1,0))+7)</f>
        <v>2025</v>
      </c>
      <c r="E78" s="278">
        <f>VALUE(TEXT(_xlfn.ISOWEEKNUM(Errorlog_table[[#This Row],[Date]]),"00"))</f>
        <v>11</v>
      </c>
      <c r="F78" s="410">
        <f>VALUE((Errorlog_table[[#This Row],[Year]])&amp;TEXT(Errorlog_table[[#This Row],[Week_Number]],"00"))</f>
        <v>202511</v>
      </c>
      <c r="G78" s="399">
        <v>45727</v>
      </c>
      <c r="H78" s="314" t="s">
        <v>478</v>
      </c>
      <c r="I78" s="314" t="s">
        <v>479</v>
      </c>
      <c r="J78" s="347" t="str">
        <f>IF(LEN(VALUE(MID(Errorlog_table[[#This Row],[Description]],FIND(":",Errorlog_table[[#This Row],[Description]])+1,6)))&gt;1,MID(Errorlog_table[[#This Row],[Description]],FIND(":",Errorlog_table[[#This Row],[Description]])+1,6),"")</f>
        <v>112689</v>
      </c>
      <c r="K78" s="314">
        <v>5.516667</v>
      </c>
      <c r="L78" s="277" t="s">
        <v>480</v>
      </c>
      <c r="M78" s="277">
        <v>53080794</v>
      </c>
      <c r="N78" s="287" t="s">
        <v>271</v>
      </c>
      <c r="O78" s="281" t="str">
        <f t="shared" si="4"/>
        <v>P853275</v>
      </c>
      <c r="P78" s="277">
        <f>LEN(Errorlog_table[[#This Row],[AIR]])</f>
        <v>7</v>
      </c>
      <c r="Q78" cm="1">
        <f t="array" ref="Q78">IF(OR(Errorlog_table[[#This Row],[AIR]]="n/a",Errorlog_table[[#This Row],[Event_code]]="Y"),"n/a",IF(Errorlog_table[[#This Row],[AIR]]="","no AIR",_xlfn.XLOOKUP(Errorlog_table[[#This Row],[AIR]],AIR_dump[[#All],[Number]],AIR_dump[[#All],[Type]],"not found",0,1)))</f>
        <v>0</v>
      </c>
      <c r="R78" s="282" t="str" cm="1">
        <f t="array" ref="R78">IF(OR(Errorlog_table[[#This Row],[AIR]]="n/a",Errorlog_table[[#This Row],[Event_code]]="Y"),"n/a",IF(Errorlog_table[[#This Row],[AIR]]="","no AIR",_xlfn.XLOOKUP(Errorlog_table[[#This Row],[AIR]],AIR_dump[[#All],[Number]],AIR_dump[[#All],[Summary]],"not found",0,1)))</f>
        <v>P853275 - NXE:3800E and EXE:5000 Destination Violation Error ZH-221D</v>
      </c>
      <c r="S78" s="347" t="str" cm="1">
        <f t="array" ref="S78">_xlfn.XLOOKUP(Errorlog_table[[#This Row],[AIR]],AIR_dump[[#All],[Number]],AIR_dump[[#All],[Close notes]])</f>
        <v>Firmware delivered W19 (COB swap done)</v>
      </c>
      <c r="T78" s="347">
        <f>Errorlog_table[[#This Row],[Year_Week_Number]]</f>
        <v>202511</v>
      </c>
      <c r="U78" s="285" t="s">
        <v>230</v>
      </c>
      <c r="V78" s="284" t="s">
        <v>230</v>
      </c>
      <c r="W78" s="285" t="str">
        <f>Errorlog_table[[#This Row],[System]]</f>
        <v>GY86</v>
      </c>
      <c r="X78" s="366" t="str">
        <f>Errorlog_table[[#This Row],[link]]</f>
        <v>P853275</v>
      </c>
      <c r="Y78" s="277" t="str">
        <f>Errorlog_table[[#This Row],[Root_Error]]</f>
        <v>ZH-221D</v>
      </c>
      <c r="Z78" s="277" t="str">
        <f>Errorlog_table[[#This Row],[Description]]</f>
        <v>EpmID:112689| SCN - lot abort ZH-221D | ZH-221D |</v>
      </c>
      <c r="AA78" s="277" t="str">
        <f t="shared" si="3"/>
        <v>Short down</v>
      </c>
      <c r="AB78" s="278">
        <f ca="1">_xlfn.ISOWEEKNUM(Errorlog_table[[#This Row],[Date]])+52*(Errorlog_table[[#This Row],[Year]]-YEAR(DATE(YEAR(TODAY()-WEEKDAY(TODAY()-1)+4),1,1)-MOD((DATE(YEAR(TODAY()-WEEKDAY(TODAY()-1)+4),1,1)-2),7)+(7*IF(MOD((DATE(YEAR(TODAY()-WEEKDAY(TODAY()-1)+4),1,1)-2),7)&gt;3,1,0))+7) )-_xlfn.ISOWEEKNUM(NOW())</f>
        <v>-26</v>
      </c>
      <c r="AC78" s="277">
        <f>COUNTIF(MTBF_pareto[AIR],Errorlog_table[[#This Row],[AIR]])</f>
        <v>0</v>
      </c>
      <c r="AD78" s="306" t="str">
        <f>TEXT(Errorlog_table[[#This Row],[Date]],"yyyy-mm-dd")&amp;"_"&amp;TEXT(Errorlog_table[[#This Row],[SDT_Timestamp]],"HH:MM:SS")&amp;"_"&amp;Errorlog_table[[#This Row],[System]]</f>
        <v>2025-03-11_10:49:00_GY86</v>
      </c>
      <c r="AE78" s="287" t="str">
        <f>Errorlog_table[[#This Row],[P_Hits]]</f>
        <v>Y</v>
      </c>
      <c r="AF78" s="287">
        <v>0</v>
      </c>
    </row>
    <row r="79" spans="1:32" ht="28.5">
      <c r="A79" s="314" t="s">
        <v>7</v>
      </c>
      <c r="B79" s="277" t="str">
        <f>VLOOKUP(A79,'5000_Fleet'!A:D,2,FALSE)</f>
        <v>Intel</v>
      </c>
      <c r="C79" s="314" t="s">
        <v>251</v>
      </c>
      <c r="D79" s="314">
        <f>YEAR(DATE(YEAR(Errorlog_table[[#This Row],[Date]]-WEEKDAY(Errorlog_table[[#This Row],[Date]]-1)+4),1,1)-MOD((DATE(YEAR(Errorlog_table[[#This Row],[Date]]-WEEKDAY(Errorlog_table[[#This Row],[Date]]-1)+4),1,1)-2),7)+(7*IF(MOD((DATE(YEAR(Errorlog_table[[#This Row],[Date]]-WEEKDAY(Errorlog_table[[#This Row],[Date]]-1)+4),1,1)-2),7)&gt;3,1,0))+7)</f>
        <v>2025</v>
      </c>
      <c r="E79" s="278">
        <f>VALUE(TEXT(_xlfn.ISOWEEKNUM(Errorlog_table[[#This Row],[Date]]),"00"))</f>
        <v>11</v>
      </c>
      <c r="F79" s="410">
        <f>VALUE((Errorlog_table[[#This Row],[Year]])&amp;TEXT(Errorlog_table[[#This Row],[Week_Number]],"00"))</f>
        <v>202511</v>
      </c>
      <c r="G79" s="399">
        <v>45727</v>
      </c>
      <c r="H79" s="314" t="s">
        <v>481</v>
      </c>
      <c r="I79" s="314" t="s">
        <v>482</v>
      </c>
      <c r="J79" s="401" t="str">
        <f>IF(LEN(VALUE(MID(Errorlog_table[[#This Row],[Description]],FIND(":",Errorlog_table[[#This Row],[Description]])+1,6)))&gt;1,MID(Errorlog_table[[#This Row],[Description]],FIND(":",Errorlog_table[[#This Row],[Description]])+1,6),"")</f>
        <v>112938</v>
      </c>
      <c r="K79" s="314">
        <v>1.316667</v>
      </c>
      <c r="L79" s="277" t="s">
        <v>480</v>
      </c>
      <c r="M79" s="277">
        <v>53080794</v>
      </c>
      <c r="N79" s="287" t="s">
        <v>271</v>
      </c>
      <c r="O79" s="281" t="str">
        <f t="shared" si="4"/>
        <v>P853275</v>
      </c>
      <c r="P79" s="277">
        <f>LEN(Errorlog_table[[#This Row],[AIR]])</f>
        <v>7</v>
      </c>
      <c r="Q79" cm="1">
        <f t="array" ref="Q79">IF(OR(Errorlog_table[[#This Row],[AIR]]="n/a",Errorlog_table[[#This Row],[Event_code]]="Y"),"n/a",IF(Errorlog_table[[#This Row],[AIR]]="","no AIR",_xlfn.XLOOKUP(Errorlog_table[[#This Row],[AIR]],AIR_dump[[#All],[Number]],AIR_dump[[#All],[Type]],"not found",0,1)))</f>
        <v>0</v>
      </c>
      <c r="R79" s="282" t="str" cm="1">
        <f t="array" ref="R79">IF(OR(Errorlog_table[[#This Row],[AIR]]="n/a",Errorlog_table[[#This Row],[Event_code]]="Y"),"n/a",IF(Errorlog_table[[#This Row],[AIR]]="","no AIR",_xlfn.XLOOKUP(Errorlog_table[[#This Row],[AIR]],AIR_dump[[#All],[Number]],AIR_dump[[#All],[Summary]],"not found",0,1)))</f>
        <v>P853275 - NXE:3800E and EXE:5000 Destination Violation Error ZH-221D</v>
      </c>
      <c r="S79" s="347" t="str" cm="1">
        <f t="array" ref="S79">_xlfn.XLOOKUP(Errorlog_table[[#This Row],[AIR]],AIR_dump[[#All],[Number]],AIR_dump[[#All],[Close notes]])</f>
        <v>Firmware delivered W19 (COB swap done)</v>
      </c>
      <c r="T79" s="347">
        <f>Errorlog_table[[#This Row],[Year_Week_Number]]</f>
        <v>202511</v>
      </c>
      <c r="U79" s="285" t="s">
        <v>230</v>
      </c>
      <c r="V79" s="284" t="s">
        <v>230</v>
      </c>
      <c r="W79" s="285" t="str">
        <f>Errorlog_table[[#This Row],[System]]</f>
        <v>GY86</v>
      </c>
      <c r="X79" s="366" t="str">
        <f>Errorlog_table[[#This Row],[link]]</f>
        <v>P853275</v>
      </c>
      <c r="Y79" s="277" t="str">
        <f>Errorlog_table[[#This Row],[Root_Error]]</f>
        <v>ZH-221D</v>
      </c>
      <c r="Z79" s="277" t="str">
        <f>Errorlog_table[[#This Row],[Description]]</f>
        <v>EpmID:112938| SCN - ZH-221D Lot Abort | ZH-221D |</v>
      </c>
      <c r="AA79" s="277" t="str">
        <f t="shared" si="3"/>
        <v>Short down</v>
      </c>
      <c r="AB79" s="278">
        <f ca="1">_xlfn.ISOWEEKNUM(Errorlog_table[[#This Row],[Date]])+52*(Errorlog_table[[#This Row],[Year]]-YEAR(DATE(YEAR(TODAY()-WEEKDAY(TODAY()-1)+4),1,1)-MOD((DATE(YEAR(TODAY()-WEEKDAY(TODAY()-1)+4),1,1)-2),7)+(7*IF(MOD((DATE(YEAR(TODAY()-WEEKDAY(TODAY()-1)+4),1,1)-2),7)&gt;3,1,0))+7) )-_xlfn.ISOWEEKNUM(NOW())</f>
        <v>-26</v>
      </c>
      <c r="AC79" s="277">
        <f>COUNTIF(MTBF_pareto[AIR],Errorlog_table[[#This Row],[AIR]])</f>
        <v>0</v>
      </c>
      <c r="AD79" s="306" t="str">
        <f>TEXT(Errorlog_table[[#This Row],[Date]],"yyyy-mm-dd")&amp;"_"&amp;TEXT(Errorlog_table[[#This Row],[SDT_Timestamp]],"HH:MM:SS")&amp;"_"&amp;Errorlog_table[[#This Row],[System]]</f>
        <v>2025-03-11_22:01:00_GY86</v>
      </c>
      <c r="AE79" s="287" t="str">
        <f>Errorlog_table[[#This Row],[P_Hits]]</f>
        <v>Y</v>
      </c>
      <c r="AF79" s="287">
        <v>0</v>
      </c>
    </row>
    <row r="80" spans="1:32" ht="15">
      <c r="A80" s="314" t="s">
        <v>7</v>
      </c>
      <c r="B80" s="277" t="str">
        <f>VLOOKUP(A80,'5000_Fleet'!A:D,2,FALSE)</f>
        <v>Intel</v>
      </c>
      <c r="C80" s="314" t="s">
        <v>186</v>
      </c>
      <c r="D80" s="314">
        <f>YEAR(DATE(YEAR(Errorlog_table[[#This Row],[Date]]-WEEKDAY(Errorlog_table[[#This Row],[Date]]-1)+4),1,1)-MOD((DATE(YEAR(Errorlog_table[[#This Row],[Date]]-WEEKDAY(Errorlog_table[[#This Row],[Date]]-1)+4),1,1)-2),7)+(7*IF(MOD((DATE(YEAR(Errorlog_table[[#This Row],[Date]]-WEEKDAY(Errorlog_table[[#This Row],[Date]]-1)+4),1,1)-2),7)&gt;3,1,0))+7)</f>
        <v>2025</v>
      </c>
      <c r="E80" s="278">
        <f>VALUE(TEXT(_xlfn.ISOWEEKNUM(Errorlog_table[[#This Row],[Date]]),"00"))</f>
        <v>11</v>
      </c>
      <c r="F80" s="410">
        <f>VALUE((Errorlog_table[[#This Row],[Year]])&amp;TEXT(Errorlog_table[[#This Row],[Week_Number]],"00"))</f>
        <v>202511</v>
      </c>
      <c r="G80" s="399">
        <v>45729</v>
      </c>
      <c r="H80" s="314" t="s">
        <v>474</v>
      </c>
      <c r="I80" s="314" t="s">
        <v>475</v>
      </c>
      <c r="J80" s="401" t="str">
        <f>IF(LEN(VALUE(MID(Errorlog_table[[#This Row],[Description]],FIND(":",Errorlog_table[[#This Row],[Description]])+1,6)))&gt;1,MID(Errorlog_table[[#This Row],[Description]],FIND(":",Errorlog_table[[#This Row],[Description]])+1,6),"")</f>
        <v>113196</v>
      </c>
      <c r="K80" s="314">
        <v>8.0333330000000007</v>
      </c>
      <c r="L80" s="277" t="s">
        <v>476</v>
      </c>
      <c r="M80" s="277">
        <v>53083396</v>
      </c>
      <c r="N80" s="293" t="s">
        <v>477</v>
      </c>
      <c r="O80" s="281" t="str">
        <f t="shared" si="4"/>
        <v>P867917</v>
      </c>
      <c r="P80" s="277">
        <f>LEN(Errorlog_table[[#This Row],[AIR]])</f>
        <v>7</v>
      </c>
      <c r="Q80" cm="1">
        <f t="array" ref="Q80">IF(OR(Errorlog_table[[#This Row],[AIR]]="n/a",Errorlog_table[[#This Row],[Event_code]]="Y"),"n/a",IF(Errorlog_table[[#This Row],[AIR]]="","no AIR",_xlfn.XLOOKUP(Errorlog_table[[#This Row],[AIR]],AIR_dump[[#All],[Number]],AIR_dump[[#All],[Type]],"not found",0,1)))</f>
        <v>0</v>
      </c>
      <c r="R80" s="282" t="str" cm="1">
        <f t="array" ref="R80">IF(OR(Errorlog_table[[#This Row],[AIR]]="n/a",Errorlog_table[[#This Row],[Event_code]]="Y"),"n/a",IF(Errorlog_table[[#This Row],[AIR]]="","no AIR",_xlfn.XLOOKUP(Errorlog_table[[#This Row],[AIR]],AIR_dump[[#All],[Number]],AIR_dump[[#All],[Summary]],"not found",0,1)))</f>
        <v>Lot abort due to  ULTHIF_DNTR driver memory leak (RCA needed)</v>
      </c>
      <c r="S80" s="347" t="str" cm="1">
        <f t="array" ref="S80">_xlfn.XLOOKUP(Errorlog_table[[#This Row],[AIR]],AIR_dump[[#All],[Number]],AIR_dump[[#All],[Close notes]])</f>
        <v>RCA</v>
      </c>
      <c r="T80" s="347">
        <f>Errorlog_table[[#This Row],[Year_Week_Number]]</f>
        <v>202511</v>
      </c>
      <c r="U80" s="285" t="s">
        <v>230</v>
      </c>
      <c r="V80" s="284" t="s">
        <v>230</v>
      </c>
      <c r="W80" s="285" t="str">
        <f>Errorlog_table[[#This Row],[System]]</f>
        <v>GY86</v>
      </c>
      <c r="X80" s="366" t="str">
        <f>Errorlog_table[[#This Row],[link]]</f>
        <v>P867917</v>
      </c>
      <c r="Y80" s="277" t="str">
        <f>Errorlog_table[[#This Row],[Root_Error]]</f>
        <v>CN-0001</v>
      </c>
      <c r="Z80" s="277" t="str">
        <f>Errorlog_table[[#This Row],[Description]]</f>
        <v>EpmID:113196| SCN - lot abort CN-0001 - ULSM_syncApp | CN-0001 |</v>
      </c>
      <c r="AA80" s="277" t="str">
        <f t="shared" si="3"/>
        <v>Short down</v>
      </c>
      <c r="AB80" s="278">
        <f ca="1">_xlfn.ISOWEEKNUM(Errorlog_table[[#This Row],[Date]])+52*(Errorlog_table[[#This Row],[Year]]-YEAR(DATE(YEAR(TODAY()-WEEKDAY(TODAY()-1)+4),1,1)-MOD((DATE(YEAR(TODAY()-WEEKDAY(TODAY()-1)+4),1,1)-2),7)+(7*IF(MOD((DATE(YEAR(TODAY()-WEEKDAY(TODAY()-1)+4),1,1)-2),7)&gt;3,1,0))+7) )-_xlfn.ISOWEEKNUM(NOW())</f>
        <v>-26</v>
      </c>
      <c r="AC80" s="277">
        <f>COUNTIF(MTBF_pareto[AIR],Errorlog_table[[#This Row],[AIR]])</f>
        <v>0</v>
      </c>
      <c r="AD80" s="306" t="str">
        <f>TEXT(Errorlog_table[[#This Row],[Date]],"yyyy-mm-dd")&amp;"_"&amp;TEXT(Errorlog_table[[#This Row],[SDT_Timestamp]],"HH:MM:SS")&amp;"_"&amp;Errorlog_table[[#This Row],[System]]</f>
        <v>2025-03-13_23:36:00_GY86</v>
      </c>
      <c r="AE80" s="287" t="str">
        <f>Errorlog_table[[#This Row],[P_Hits]]</f>
        <v>Y</v>
      </c>
      <c r="AF80" s="287">
        <v>0</v>
      </c>
    </row>
    <row r="81" spans="1:32" ht="15">
      <c r="A81" s="314" t="s">
        <v>4</v>
      </c>
      <c r="B81" s="277" t="str">
        <f>VLOOKUP(A81,'5000_Fleet'!A:D,2,FALSE)</f>
        <v>Intel</v>
      </c>
      <c r="C81" s="314" t="s">
        <v>470</v>
      </c>
      <c r="D81" s="314">
        <f>YEAR(DATE(YEAR(Errorlog_table[[#This Row],[Date]]-WEEKDAY(Errorlog_table[[#This Row],[Date]]-1)+4),1,1)-MOD((DATE(YEAR(Errorlog_table[[#This Row],[Date]]-WEEKDAY(Errorlog_table[[#This Row],[Date]]-1)+4),1,1)-2),7)+(7*IF(MOD((DATE(YEAR(Errorlog_table[[#This Row],[Date]]-WEEKDAY(Errorlog_table[[#This Row],[Date]]-1)+4),1,1)-2),7)&gt;3,1,0))+7)</f>
        <v>2025</v>
      </c>
      <c r="E81" s="278">
        <f>VALUE(TEXT(_xlfn.ISOWEEKNUM(Errorlog_table[[#This Row],[Date]]),"00"))</f>
        <v>11</v>
      </c>
      <c r="F81" s="410">
        <f>VALUE((Errorlog_table[[#This Row],[Year]])&amp;TEXT(Errorlog_table[[#This Row],[Week_Number]],"00"))</f>
        <v>202511</v>
      </c>
      <c r="G81" s="399">
        <v>45730</v>
      </c>
      <c r="H81" s="314" t="s">
        <v>471</v>
      </c>
      <c r="I81" s="314" t="s">
        <v>472</v>
      </c>
      <c r="J81" s="401" t="str">
        <f>IF(LEN(VALUE(MID(Errorlog_table[[#This Row],[Description]],FIND(":",Errorlog_table[[#This Row],[Description]])+1,6)))&gt;1,MID(Errorlog_table[[#This Row],[Description]],FIND(":",Errorlog_table[[#This Row],[Description]])+1,6),"")</f>
        <v>113189</v>
      </c>
      <c r="K81" s="314">
        <v>2.8833329999999999</v>
      </c>
      <c r="L81" s="277" t="s">
        <v>118</v>
      </c>
      <c r="M81" s="277">
        <v>53083711</v>
      </c>
      <c r="N81" s="293" t="s">
        <v>473</v>
      </c>
      <c r="O81" s="281" t="str">
        <f t="shared" si="4"/>
        <v>P841602</v>
      </c>
      <c r="P81" s="277">
        <f>LEN(Errorlog_table[[#This Row],[AIR]])</f>
        <v>7</v>
      </c>
      <c r="Q81" t="str" cm="1">
        <f t="array" ref="Q81">IF(OR(Errorlog_table[[#This Row],[AIR]]="n/a",Errorlog_table[[#This Row],[Event_code]]="Y"),"n/a",IF(Errorlog_table[[#This Row],[AIR]]="","no AIR",_xlfn.XLOOKUP(Errorlog_table[[#This Row],[AIR]],AIR_dump[[#All],[Number]],AIR_dump[[#All],[Type]],"not found",0,1)))</f>
        <v>WH</v>
      </c>
      <c r="R81" s="282" t="str" cm="1">
        <f t="array" ref="R81">IF(OR(Errorlog_table[[#This Row],[AIR]]="n/a",Errorlog_table[[#This Row],[Event_code]]="Y"),"n/a",IF(Errorlog_table[[#This Row],[AIR]]="","no AIR",_xlfn.XLOOKUP(Errorlog_table[[#This Row],[AIR]],AIR_dump[[#All],[Number]],AIR_dump[[#All],[Summary]],"not found",0,1)))</f>
        <v>mET18_SO52992004_Lot abort by WH-252E</v>
      </c>
      <c r="S81" s="347" t="str" cm="1">
        <f t="array" ref="S81">_xlfn.XLOOKUP(Errorlog_table[[#This Row],[AIR]],AIR_dump[[#All],[Number]],AIR_dump[[#All],[Close notes]])</f>
        <v>[intake 2450]</v>
      </c>
      <c r="T81" s="347">
        <f>Errorlog_table[[#This Row],[Year_Week_Number]]</f>
        <v>202511</v>
      </c>
      <c r="U81" s="285" t="s">
        <v>230</v>
      </c>
      <c r="V81" s="284" t="s">
        <v>230</v>
      </c>
      <c r="W81" s="285" t="str">
        <f>Errorlog_table[[#This Row],[System]]</f>
        <v>CR51</v>
      </c>
      <c r="X81" s="366" t="str">
        <f>Errorlog_table[[#This Row],[link]]</f>
        <v>P841602</v>
      </c>
      <c r="Y81" s="277" t="str">
        <f>Errorlog_table[[#This Row],[Root_Error]]</f>
        <v>WH-252E</v>
      </c>
      <c r="Z81" s="277" t="str">
        <f>Errorlog_table[[#This Row],[Description]]</f>
        <v>EpmID:113189| SCN - CU_DO_LOT_Aborted (Lot Abort) | WH-252E |</v>
      </c>
      <c r="AA81" s="277" t="str">
        <f t="shared" si="3"/>
        <v>Short down</v>
      </c>
      <c r="AB81" s="278">
        <f ca="1">_xlfn.ISOWEEKNUM(Errorlog_table[[#This Row],[Date]])+52*(Errorlog_table[[#This Row],[Year]]-YEAR(DATE(YEAR(TODAY()-WEEKDAY(TODAY()-1)+4),1,1)-MOD((DATE(YEAR(TODAY()-WEEKDAY(TODAY()-1)+4),1,1)-2),7)+(7*IF(MOD((DATE(YEAR(TODAY()-WEEKDAY(TODAY()-1)+4),1,1)-2),7)&gt;3,1,0))+7) )-_xlfn.ISOWEEKNUM(NOW())</f>
        <v>-26</v>
      </c>
      <c r="AC81" s="277">
        <f>COUNTIF(MTBF_pareto[AIR],Errorlog_table[[#This Row],[AIR]])</f>
        <v>1</v>
      </c>
      <c r="AD81" s="306" t="str">
        <f>TEXT(Errorlog_table[[#This Row],[Date]],"yyyy-mm-dd")&amp;"_"&amp;TEXT(Errorlog_table[[#This Row],[SDT_Timestamp]],"HH:MM:SS")&amp;"_"&amp;Errorlog_table[[#This Row],[System]]</f>
        <v>2025-03-14_03:19:00_CR51</v>
      </c>
      <c r="AE81" s="287" t="str">
        <f>Errorlog_table[[#This Row],[P_Hits]]</f>
        <v>Y</v>
      </c>
      <c r="AF81" s="287">
        <v>0</v>
      </c>
    </row>
    <row r="82" spans="1:32" ht="15">
      <c r="A82" s="314" t="s">
        <v>4</v>
      </c>
      <c r="B82" s="277" t="str">
        <f>VLOOKUP(A82,'5000_Fleet'!A:D,2,FALSE)</f>
        <v>Intel</v>
      </c>
      <c r="C82" s="314" t="s">
        <v>399</v>
      </c>
      <c r="D82" s="314">
        <f>YEAR(DATE(YEAR(Errorlog_table[[#This Row],[Date]]-WEEKDAY(Errorlog_table[[#This Row],[Date]]-1)+4),1,1)-MOD((DATE(YEAR(Errorlog_table[[#This Row],[Date]]-WEEKDAY(Errorlog_table[[#This Row],[Date]]-1)+4),1,1)-2),7)+(7*IF(MOD((DATE(YEAR(Errorlog_table[[#This Row],[Date]]-WEEKDAY(Errorlog_table[[#This Row],[Date]]-1)+4),1,1)-2),7)&gt;3,1,0))+7)</f>
        <v>2025</v>
      </c>
      <c r="E82" s="278">
        <f>VALUE(TEXT(_xlfn.ISOWEEKNUM(Errorlog_table[[#This Row],[Date]]),"00"))</f>
        <v>11</v>
      </c>
      <c r="F82" s="410">
        <f>VALUE((Errorlog_table[[#This Row],[Year]])&amp;TEXT(Errorlog_table[[#This Row],[Week_Number]],"00"))</f>
        <v>202511</v>
      </c>
      <c r="G82" s="399">
        <v>45732</v>
      </c>
      <c r="H82" s="314" t="s">
        <v>460</v>
      </c>
      <c r="I82" s="314" t="s">
        <v>461</v>
      </c>
      <c r="J82" s="347" t="str">
        <f>IF(LEN(VALUE(MID(Errorlog_table[[#This Row],[Description]],FIND(":",Errorlog_table[[#This Row],[Description]])+1,6)))&gt;1,MID(Errorlog_table[[#This Row],[Description]],FIND(":",Errorlog_table[[#This Row],[Description]])+1,6),"")</f>
        <v>113226</v>
      </c>
      <c r="K82" s="314">
        <v>0.33333299999999999</v>
      </c>
      <c r="L82" s="277" t="s">
        <v>10</v>
      </c>
      <c r="M82" s="277">
        <v>53084849</v>
      </c>
      <c r="N82" s="498" t="s">
        <v>402</v>
      </c>
      <c r="O82" s="281" t="str">
        <f t="shared" si="4"/>
        <v>P823264</v>
      </c>
      <c r="P82" s="277">
        <f>LEN(Errorlog_table[[#This Row],[AIR]])</f>
        <v>7</v>
      </c>
      <c r="Q82" cm="1">
        <f t="array" ref="Q82">IF(OR(Errorlog_table[[#This Row],[AIR]]="n/a",Errorlog_table[[#This Row],[Event_code]]="Y"),"n/a",IF(Errorlog_table[[#This Row],[AIR]]="","no AIR",_xlfn.XLOOKUP(Errorlog_table[[#This Row],[AIR]],AIR_dump[[#All],[Number]],AIR_dump[[#All],[Type]],"not found",0,1)))</f>
        <v>0</v>
      </c>
      <c r="R82" s="282" t="str" cm="1">
        <f t="array" ref="R82">IF(OR(Errorlog_table[[#This Row],[AIR]]="n/a",Errorlog_table[[#This Row],[Event_code]]="Y"),"n/a",IF(Errorlog_table[[#This Row],[AIR]]="","no AIR",_xlfn.XLOOKUP(Errorlog_table[[#This Row],[AIR]],AIR_dump[[#All],[Number]],AIR_dump[[#All],[Summary]],"not found",0,1)))</f>
        <v>Reticle Inventory fails due to 2DBCR cannot read barcode</v>
      </c>
      <c r="S82" s="347" t="str" cm="1">
        <f t="array" ref="S82">_xlfn.XLOOKUP(Errorlog_table[[#This Row],[AIR]],AIR_dump[[#All],[Number]],AIR_dump[[#All],[Close notes]])</f>
        <v>Working on diagnostic patch to continue RCA</v>
      </c>
      <c r="T82" s="347">
        <f>Errorlog_table[[#This Row],[Year_Week_Number]]</f>
        <v>202511</v>
      </c>
      <c r="U82" s="285" t="s">
        <v>239</v>
      </c>
      <c r="V82" s="284" t="s">
        <v>230</v>
      </c>
      <c r="W82" s="285" t="str">
        <f>Errorlog_table[[#This Row],[System]]</f>
        <v>CR51</v>
      </c>
      <c r="X82" s="366" t="str">
        <f>Errorlog_table[[#This Row],[link]]</f>
        <v>P823264</v>
      </c>
      <c r="Y82" s="277" t="str">
        <f>Errorlog_table[[#This Row],[Root_Error]]</f>
        <v>RH-C177</v>
      </c>
      <c r="Z82" s="277" t="str">
        <f>Errorlog_table[[#This Row],[Description]]</f>
        <v>EpmID:113226| SCN - Reticle 2D Barcode not read | RH-C177 |</v>
      </c>
      <c r="AA82" s="277" t="str">
        <f t="shared" si="3"/>
        <v>Short down</v>
      </c>
      <c r="AB82" s="278">
        <f ca="1">_xlfn.ISOWEEKNUM(Errorlog_table[[#This Row],[Date]])+52*(Errorlog_table[[#This Row],[Year]]-YEAR(DATE(YEAR(TODAY()-WEEKDAY(TODAY()-1)+4),1,1)-MOD((DATE(YEAR(TODAY()-WEEKDAY(TODAY()-1)+4),1,1)-2),7)+(7*IF(MOD((DATE(YEAR(TODAY()-WEEKDAY(TODAY()-1)+4),1,1)-2),7)&gt;3,1,0))+7) )-_xlfn.ISOWEEKNUM(NOW())</f>
        <v>-26</v>
      </c>
      <c r="AC82" s="277">
        <f>COUNTIF(MTBF_pareto[AIR],Errorlog_table[[#This Row],[AIR]])</f>
        <v>0</v>
      </c>
      <c r="AD82" s="306" t="str">
        <f>TEXT(Errorlog_table[[#This Row],[Date]],"yyyy-mm-dd")&amp;"_"&amp;TEXT(Errorlog_table[[#This Row],[SDT_Timestamp]],"HH:MM:SS")&amp;"_"&amp;Errorlog_table[[#This Row],[System]]</f>
        <v>2025-03-16_11:03:00_CR51</v>
      </c>
      <c r="AE82" s="287" t="str">
        <f>Errorlog_table[[#This Row],[P_Hits]]</f>
        <v>N</v>
      </c>
      <c r="AF82" s="287">
        <v>0</v>
      </c>
    </row>
    <row r="83" spans="1:32" ht="15">
      <c r="A83" s="314" t="s">
        <v>7</v>
      </c>
      <c r="B83" s="277" t="str">
        <f>VLOOKUP(A83,'5000_Fleet'!A:D,2,FALSE)</f>
        <v>Intel</v>
      </c>
      <c r="C83" s="314" t="s">
        <v>462</v>
      </c>
      <c r="D83" s="314">
        <f>YEAR(DATE(YEAR(Errorlog_table[[#This Row],[Date]]-WEEKDAY(Errorlog_table[[#This Row],[Date]]-1)+4),1,1)-MOD((DATE(YEAR(Errorlog_table[[#This Row],[Date]]-WEEKDAY(Errorlog_table[[#This Row],[Date]]-1)+4),1,1)-2),7)+(7*IF(MOD((DATE(YEAR(Errorlog_table[[#This Row],[Date]]-WEEKDAY(Errorlog_table[[#This Row],[Date]]-1)+4),1,1)-2),7)&gt;3,1,0))+7)</f>
        <v>2025</v>
      </c>
      <c r="E83" s="278">
        <f>VALUE(TEXT(_xlfn.ISOWEEKNUM(Errorlog_table[[#This Row],[Date]]),"00"))</f>
        <v>11</v>
      </c>
      <c r="F83" s="410">
        <f>VALUE((Errorlog_table[[#This Row],[Year]])&amp;TEXT(Errorlog_table[[#This Row],[Week_Number]],"00"))</f>
        <v>202511</v>
      </c>
      <c r="G83" s="399">
        <v>45732</v>
      </c>
      <c r="H83" s="314" t="s">
        <v>463</v>
      </c>
      <c r="I83" s="314" t="s">
        <v>464</v>
      </c>
      <c r="J83" s="347" t="str">
        <f>IF(LEN(VALUE(MID(Errorlog_table[[#This Row],[Description]],FIND(":",Errorlog_table[[#This Row],[Description]])+1,6)))&gt;1,MID(Errorlog_table[[#This Row],[Description]],FIND(":",Errorlog_table[[#This Row],[Description]])+1,6),"")</f>
        <v>113259</v>
      </c>
      <c r="K83" s="314">
        <v>1.95</v>
      </c>
      <c r="L83" s="277" t="s">
        <v>10</v>
      </c>
      <c r="M83" s="277">
        <v>53084962</v>
      </c>
      <c r="N83" s="498" t="s">
        <v>465</v>
      </c>
      <c r="O83" s="281" t="str">
        <f t="shared" si="4"/>
        <v>P835372</v>
      </c>
      <c r="P83" s="277">
        <f>LEN(Errorlog_table[[#This Row],[AIR]])</f>
        <v>7</v>
      </c>
      <c r="Q83" cm="1">
        <f t="array" ref="Q83">IF(OR(Errorlog_table[[#This Row],[AIR]]="n/a",Errorlog_table[[#This Row],[Event_code]]="Y"),"n/a",IF(Errorlog_table[[#This Row],[AIR]]="","no AIR",_xlfn.XLOOKUP(Errorlog_table[[#This Row],[AIR]],AIR_dump[[#All],[Number]],AIR_dump[[#All],[Type]],"not found",0,1)))</f>
        <v>0</v>
      </c>
      <c r="R83" s="282" t="str" cm="1">
        <f t="array" ref="R83">IF(OR(Errorlog_table[[#This Row],[AIR]]="n/a",Errorlog_table[[#This Row],[Event_code]]="Y"),"n/a",IF(Errorlog_table[[#This Row],[AIR]]="","no AIR",_xlfn.XLOOKUP(Errorlog_table[[#This Row],[AIR]],AIR_dump[[#All],[Number]],AIR_dump[[#All],[Summary]],"not found",0,1)))</f>
        <v xml:space="preserve">PWEDNE task dying during PWEDNE CPD run </v>
      </c>
      <c r="S83" s="347" t="str" cm="1">
        <f t="array" ref="S83">_xlfn.XLOOKUP(Errorlog_table[[#This Row],[AIR]],AIR_dump[[#All],[Number]],AIR_dump[[#All],[Close notes]])</f>
        <v>Likely incident not CPD related</v>
      </c>
      <c r="T83" s="347">
        <f>Errorlog_table[[#This Row],[Year_Week_Number]]</f>
        <v>202511</v>
      </c>
      <c r="U83" s="285" t="s">
        <v>239</v>
      </c>
      <c r="V83" s="284" t="s">
        <v>230</v>
      </c>
      <c r="W83" s="285" t="str">
        <f>Errorlog_table[[#This Row],[System]]</f>
        <v>GY86</v>
      </c>
      <c r="X83" s="366" t="str">
        <f>Errorlog_table[[#This Row],[link]]</f>
        <v>P835372</v>
      </c>
      <c r="Y83" s="277" t="str">
        <f>Errorlog_table[[#This Row],[Root_Error]]</f>
        <v>TN-0054</v>
      </c>
      <c r="Z83" s="277" t="str">
        <f>Errorlog_table[[#This Row],[Description]]</f>
        <v>EpmID:113259| SCN - WPPD for PWEDNE crash | TN-0054 |</v>
      </c>
      <c r="AA83" s="277" t="str">
        <f t="shared" si="3"/>
        <v>Short down</v>
      </c>
      <c r="AB83" s="278">
        <f ca="1">_xlfn.ISOWEEKNUM(Errorlog_table[[#This Row],[Date]])+52*(Errorlog_table[[#This Row],[Year]]-YEAR(DATE(YEAR(TODAY()-WEEKDAY(TODAY()-1)+4),1,1)-MOD((DATE(YEAR(TODAY()-WEEKDAY(TODAY()-1)+4),1,1)-2),7)+(7*IF(MOD((DATE(YEAR(TODAY()-WEEKDAY(TODAY()-1)+4),1,1)-2),7)&gt;3,1,0))+7) )-_xlfn.ISOWEEKNUM(NOW())</f>
        <v>-26</v>
      </c>
      <c r="AC83" s="277">
        <f>COUNTIF(MTBF_pareto[AIR],Errorlog_table[[#This Row],[AIR]])</f>
        <v>0</v>
      </c>
      <c r="AD83" s="306" t="str">
        <f>TEXT(Errorlog_table[[#This Row],[Date]],"yyyy-mm-dd")&amp;"_"&amp;TEXT(Errorlog_table[[#This Row],[SDT_Timestamp]],"HH:MM:SS")&amp;"_"&amp;Errorlog_table[[#This Row],[System]]</f>
        <v>2025-03-16_14:49:00_GY86</v>
      </c>
      <c r="AE83" s="287" t="str">
        <f>Errorlog_table[[#This Row],[P_Hits]]</f>
        <v>N</v>
      </c>
      <c r="AF83" s="287">
        <v>0</v>
      </c>
    </row>
    <row r="84" spans="1:32" ht="28.5">
      <c r="A84" s="314" t="s">
        <v>7</v>
      </c>
      <c r="B84" s="277" t="str">
        <f>VLOOKUP(A84,'5000_Fleet'!A:D,2,FALSE)</f>
        <v>Intel</v>
      </c>
      <c r="C84" s="314" t="s">
        <v>251</v>
      </c>
      <c r="D84" s="314">
        <f>YEAR(DATE(YEAR(Errorlog_table[[#This Row],[Date]]-WEEKDAY(Errorlog_table[[#This Row],[Date]]-1)+4),1,1)-MOD((DATE(YEAR(Errorlog_table[[#This Row],[Date]]-WEEKDAY(Errorlog_table[[#This Row],[Date]]-1)+4),1,1)-2),7)+(7*IF(MOD((DATE(YEAR(Errorlog_table[[#This Row],[Date]]-WEEKDAY(Errorlog_table[[#This Row],[Date]]-1)+4),1,1)-2),7)&gt;3,1,0))+7)</f>
        <v>2025</v>
      </c>
      <c r="E84" s="278">
        <f>VALUE(TEXT(_xlfn.ISOWEEKNUM(Errorlog_table[[#This Row],[Date]]),"00"))</f>
        <v>11</v>
      </c>
      <c r="F84" s="410">
        <f>VALUE((Errorlog_table[[#This Row],[Year]])&amp;TEXT(Errorlog_table[[#This Row],[Week_Number]],"00"))</f>
        <v>202511</v>
      </c>
      <c r="G84" s="399">
        <v>45732</v>
      </c>
      <c r="H84" s="314" t="s">
        <v>483</v>
      </c>
      <c r="I84" s="314" t="s">
        <v>484</v>
      </c>
      <c r="J84" s="401" t="str">
        <f>IF(LEN(VALUE(MID(Errorlog_table[[#This Row],[Description]],FIND(":",Errorlog_table[[#This Row],[Description]])+1,6)))&gt;1,MID(Errorlog_table[[#This Row],[Description]],FIND(":",Errorlog_table[[#This Row],[Description]])+1,6),"")</f>
        <v>113245</v>
      </c>
      <c r="K84" s="314">
        <v>1.183333</v>
      </c>
      <c r="L84" s="277" t="s">
        <v>480</v>
      </c>
      <c r="M84" s="277">
        <v>53041611</v>
      </c>
      <c r="N84" s="293" t="s">
        <v>271</v>
      </c>
      <c r="O84" s="281" t="str">
        <f t="shared" si="4"/>
        <v>P853275</v>
      </c>
      <c r="P84" s="277">
        <f>LEN(Errorlog_table[[#This Row],[AIR]])</f>
        <v>7</v>
      </c>
      <c r="Q84" cm="1">
        <f t="array" ref="Q84">IF(OR(Errorlog_table[[#This Row],[AIR]]="n/a",Errorlog_table[[#This Row],[Event_code]]="Y"),"n/a",IF(Errorlog_table[[#This Row],[AIR]]="","no AIR",_xlfn.XLOOKUP(Errorlog_table[[#This Row],[AIR]],AIR_dump[[#All],[Number]],AIR_dump[[#All],[Type]],"not found",0,1)))</f>
        <v>0</v>
      </c>
      <c r="R84" s="282" t="str" cm="1">
        <f t="array" ref="R84">IF(OR(Errorlog_table[[#This Row],[AIR]]="n/a",Errorlog_table[[#This Row],[Event_code]]="Y"),"n/a",IF(Errorlog_table[[#This Row],[AIR]]="","no AIR",_xlfn.XLOOKUP(Errorlog_table[[#This Row],[AIR]],AIR_dump[[#All],[Number]],AIR_dump[[#All],[Summary]],"not found",0,1)))</f>
        <v>P853275 - NXE:3800E and EXE:5000 Destination Violation Error ZH-221D</v>
      </c>
      <c r="S84" s="347" t="str" cm="1">
        <f t="array" ref="S84">_xlfn.XLOOKUP(Errorlog_table[[#This Row],[AIR]],AIR_dump[[#All],[Number]],AIR_dump[[#All],[Close notes]])</f>
        <v>Firmware delivered W19 (COB swap done)</v>
      </c>
      <c r="T84" s="347">
        <f>Errorlog_table[[#This Row],[Year_Week_Number]]</f>
        <v>202511</v>
      </c>
      <c r="U84" s="285" t="s">
        <v>230</v>
      </c>
      <c r="V84" s="284" t="s">
        <v>230</v>
      </c>
      <c r="W84" s="285" t="str">
        <f>Errorlog_table[[#This Row],[System]]</f>
        <v>GY86</v>
      </c>
      <c r="X84" s="366" t="str">
        <f>Errorlog_table[[#This Row],[link]]</f>
        <v>P853275</v>
      </c>
      <c r="Y84" s="277" t="str">
        <f>Errorlog_table[[#This Row],[Root_Error]]</f>
        <v>ZH-221D</v>
      </c>
      <c r="Z84" s="277" t="str">
        <f>Errorlog_table[[#This Row],[Description]]</f>
        <v>EpmID:113245| SCN - Lot Abort ZH-221D | ZH-221D |</v>
      </c>
      <c r="AA84" s="277" t="str">
        <f t="shared" si="3"/>
        <v>Short down</v>
      </c>
      <c r="AB84" s="278">
        <f ca="1">_xlfn.ISOWEEKNUM(Errorlog_table[[#This Row],[Date]])+52*(Errorlog_table[[#This Row],[Year]]-YEAR(DATE(YEAR(TODAY()-WEEKDAY(TODAY()-1)+4),1,1)-MOD((DATE(YEAR(TODAY()-WEEKDAY(TODAY()-1)+4),1,1)-2),7)+(7*IF(MOD((DATE(YEAR(TODAY()-WEEKDAY(TODAY()-1)+4),1,1)-2),7)&gt;3,1,0))+7) )-_xlfn.ISOWEEKNUM(NOW())</f>
        <v>-26</v>
      </c>
      <c r="AC84" s="277">
        <f>COUNTIF(MTBF_pareto[AIR],Errorlog_table[[#This Row],[AIR]])</f>
        <v>0</v>
      </c>
      <c r="AD84" s="306" t="str">
        <f>TEXT(Errorlog_table[[#This Row],[Date]],"yyyy-mm-dd")&amp;"_"&amp;TEXT(Errorlog_table[[#This Row],[SDT_Timestamp]],"HH:MM:SS")&amp;"_"&amp;Errorlog_table[[#This Row],[System]]</f>
        <v>2025-03-16_17:25:00_GY86</v>
      </c>
      <c r="AE84" s="287" t="str">
        <f>Errorlog_table[[#This Row],[P_Hits]]</f>
        <v>Y</v>
      </c>
      <c r="AF84" s="287">
        <v>0</v>
      </c>
    </row>
    <row r="85" spans="1:32" ht="15">
      <c r="A85" s="402" t="s">
        <v>4</v>
      </c>
      <c r="B85" s="293" t="str">
        <f>VLOOKUP(A85,'5000_Fleet'!A:D,2,FALSE)</f>
        <v>Intel</v>
      </c>
      <c r="C85" s="277" t="s">
        <v>441</v>
      </c>
      <c r="D85" s="293">
        <f>YEAR(DATE(YEAR(Errorlog_table[[#This Row],[Date]]-WEEKDAY(Errorlog_table[[#This Row],[Date]]-1)+4),1,1)-MOD((DATE(YEAR(Errorlog_table[[#This Row],[Date]]-WEEKDAY(Errorlog_table[[#This Row],[Date]]-1)+4),1,1)-2),7)+(7*IF(MOD((DATE(YEAR(Errorlog_table[[#This Row],[Date]]-WEEKDAY(Errorlog_table[[#This Row],[Date]]-1)+4),1,1)-2),7)&gt;3,1,0))+7)</f>
        <v>2025</v>
      </c>
      <c r="E85" s="278">
        <f>VALUE(TEXT(_xlfn.ISOWEEKNUM(Errorlog_table[[#This Row],[Date]]),"00"))</f>
        <v>12</v>
      </c>
      <c r="F85" s="410">
        <f>VALUE((Errorlog_table[[#This Row],[Year]])&amp;TEXT(Errorlog_table[[#This Row],[Week_Number]],"00"))</f>
        <v>202512</v>
      </c>
      <c r="G85" s="399">
        <v>45734</v>
      </c>
      <c r="H85" s="314" t="s">
        <v>485</v>
      </c>
      <c r="I85" s="314" t="s">
        <v>486</v>
      </c>
      <c r="J85" s="347" t="str">
        <f>IF(LEN(VALUE(MID(Errorlog_table[[#This Row],[Description]],FIND(":",Errorlog_table[[#This Row],[Description]])+1,6)))&gt;1,MID(Errorlog_table[[#This Row],[Description]],FIND(":",Errorlog_table[[#This Row],[Description]])+1,6),"")</f>
        <v>113813</v>
      </c>
      <c r="K85" s="314">
        <v>2.95</v>
      </c>
      <c r="L85" s="277"/>
      <c r="M85" s="293">
        <v>53064691</v>
      </c>
      <c r="N85" s="293" t="s">
        <v>444</v>
      </c>
      <c r="O85" s="281" t="str">
        <f t="shared" si="4"/>
        <v>P860660</v>
      </c>
      <c r="P85" s="277">
        <f>LEN(Errorlog_table[[#This Row],[AIR]])</f>
        <v>7</v>
      </c>
      <c r="Q85" cm="1">
        <f t="array" ref="Q85">IF(OR(Errorlog_table[[#This Row],[AIR]]="n/a",Errorlog_table[[#This Row],[Event_code]]="Y"),"n/a",IF(Errorlog_table[[#This Row],[AIR]]="","no AIR",_xlfn.XLOOKUP(Errorlog_table[[#This Row],[AIR]],AIR_dump[[#All],[Number]],AIR_dump[[#All],[Type]],"not found",0,1)))</f>
        <v>0</v>
      </c>
      <c r="R85" s="283" t="str" cm="1">
        <f t="array" ref="R85">IF(OR(Errorlog_table[[#This Row],[AIR]]="n/a",Errorlog_table[[#This Row],[Event_code]]="Y"),"n/a",IF(Errorlog_table[[#This Row],[AIR]]="","no AIR",_xlfn.XLOOKUP(Errorlog_table[[#This Row],[AIR]],AIR_dump[[#All],[Number]],AIR_dump[[#All],[Summary]],"not found",0,1)))</f>
        <v xml:space="preserve"> [CR51] Lot abort unload fail RU-1B22 after ARR</v>
      </c>
      <c r="S85" s="347" t="str" cm="1">
        <f t="array" ref="S85">_xlfn.XLOOKUP(Errorlog_table[[#This Row],[AIR]],AIR_dump[[#All],[Number]],AIR_dump[[#All],[Close notes]])</f>
        <v>Planned patch W19 to mitigate clamp charge</v>
      </c>
      <c r="T85" s="347">
        <f>Errorlog_table[[#This Row],[Year_Week_Number]]</f>
        <v>202512</v>
      </c>
      <c r="U85" s="307" t="s">
        <v>230</v>
      </c>
      <c r="V85" s="284" t="s">
        <v>230</v>
      </c>
      <c r="W85" s="307" t="str">
        <f>Errorlog_table[[#This Row],[System]]</f>
        <v>CR51</v>
      </c>
      <c r="X85" s="347" t="str">
        <f>Errorlog_table[[#This Row],[link]]</f>
        <v>P860660</v>
      </c>
      <c r="Y85" s="277" t="str">
        <f>Errorlog_table[[#This Row],[Root_Error]]</f>
        <v>RU-1B22</v>
      </c>
      <c r="Z85" s="293" t="str">
        <f>Errorlog_table[[#This Row],[Description]]</f>
        <v>EpmID:113813| SCN - Lot Abort+POB/WPPD Recovery | RU-1B22 |</v>
      </c>
      <c r="AA85" s="293" t="str">
        <f t="shared" si="3"/>
        <v>Short down</v>
      </c>
      <c r="AB85" s="315">
        <f ca="1">_xlfn.ISOWEEKNUM(Errorlog_table[[#This Row],[Date]])+52*(Errorlog_table[[#This Row],[Year]]-YEAR(DATE(YEAR(TODAY()-WEEKDAY(TODAY()-1)+4),1,1)-MOD((DATE(YEAR(TODAY()-WEEKDAY(TODAY()-1)+4),1,1)-2),7)+(7*IF(MOD((DATE(YEAR(TODAY()-WEEKDAY(TODAY()-1)+4),1,1)-2),7)&gt;3,1,0))+7) )-_xlfn.ISOWEEKNUM(NOW())</f>
        <v>-25</v>
      </c>
      <c r="AC85" s="293">
        <f>COUNTIF(MTBF_pareto[AIR],Errorlog_table[[#This Row],[AIR]])</f>
        <v>0</v>
      </c>
      <c r="AD85" s="306" t="str">
        <f>TEXT(Errorlog_table[[#This Row],[Date]],"yyyy-mm-dd")&amp;"_"&amp;TEXT(Errorlog_table[[#This Row],[SDT_Timestamp]],"HH:MM:SS")&amp;"_"&amp;Errorlog_table[[#This Row],[System]]</f>
        <v>2025-03-18_19:32:54_CR51</v>
      </c>
      <c r="AE85" s="287" t="str">
        <f>Errorlog_table[[#This Row],[P_Hits]]</f>
        <v>Y</v>
      </c>
      <c r="AF85" s="287">
        <v>0</v>
      </c>
    </row>
    <row r="86" spans="1:32" ht="15">
      <c r="A86" s="400" t="s">
        <v>4</v>
      </c>
      <c r="B86" s="277" t="str">
        <f>VLOOKUP(A86,'5000_Fleet'!A:D,2,FALSE)</f>
        <v>Intel</v>
      </c>
      <c r="C86" s="277" t="s">
        <v>441</v>
      </c>
      <c r="D86" s="293">
        <f>YEAR(DATE(YEAR(Errorlog_table[[#This Row],[Date]]-WEEKDAY(Errorlog_table[[#This Row],[Date]]-1)+4),1,1)-MOD((DATE(YEAR(Errorlog_table[[#This Row],[Date]]-WEEKDAY(Errorlog_table[[#This Row],[Date]]-1)+4),1,1)-2),7)+(7*IF(MOD((DATE(YEAR(Errorlog_table[[#This Row],[Date]]-WEEKDAY(Errorlog_table[[#This Row],[Date]]-1)+4),1,1)-2),7)&gt;3,1,0))+7)</f>
        <v>2025</v>
      </c>
      <c r="E86" s="278">
        <f>VALUE(TEXT(_xlfn.ISOWEEKNUM(Errorlog_table[[#This Row],[Date]]),"00"))</f>
        <v>12</v>
      </c>
      <c r="F86" s="410">
        <f>VALUE((Errorlog_table[[#This Row],[Year]])&amp;TEXT(Errorlog_table[[#This Row],[Week_Number]],"00"))</f>
        <v>202512</v>
      </c>
      <c r="G86" s="399">
        <v>45735</v>
      </c>
      <c r="H86" s="403">
        <v>6.805555555555555E-2</v>
      </c>
      <c r="I86" s="314" t="s">
        <v>487</v>
      </c>
      <c r="J86" s="347" t="str">
        <f>IF(LEN(VALUE(MID(Errorlog_table[[#This Row],[Description]],FIND(":",Errorlog_table[[#This Row],[Description]])+1,6)))&gt;1,MID(Errorlog_table[[#This Row],[Description]],FIND(":",Errorlog_table[[#This Row],[Description]])+1,6),"")</f>
        <v>113811</v>
      </c>
      <c r="K86" s="316">
        <v>0.38</v>
      </c>
      <c r="L86" s="277"/>
      <c r="M86" s="277">
        <v>53064691</v>
      </c>
      <c r="N86" s="293" t="s">
        <v>444</v>
      </c>
      <c r="O86" s="281" t="str">
        <f t="shared" si="4"/>
        <v>P860660</v>
      </c>
      <c r="P86" s="277">
        <f>LEN(Errorlog_table[[#This Row],[AIR]])</f>
        <v>7</v>
      </c>
      <c r="Q86" cm="1">
        <f t="array" ref="Q86">IF(OR(Errorlog_table[[#This Row],[AIR]]="n/a",Errorlog_table[[#This Row],[Event_code]]="Y"),"n/a",IF(Errorlog_table[[#This Row],[AIR]]="","no AIR",_xlfn.XLOOKUP(Errorlog_table[[#This Row],[AIR]],AIR_dump[[#All],[Number]],AIR_dump[[#All],[Type]],"not found",0,1)))</f>
        <v>0</v>
      </c>
      <c r="R86" s="282" t="str" cm="1">
        <f t="array" ref="R86">IF(OR(Errorlog_table[[#This Row],[AIR]]="n/a",Errorlog_table[[#This Row],[Event_code]]="Y"),"n/a",IF(Errorlog_table[[#This Row],[AIR]]="","no AIR",_xlfn.XLOOKUP(Errorlog_table[[#This Row],[AIR]],AIR_dump[[#All],[Number]],AIR_dump[[#All],[Summary]],"not found",0,1)))</f>
        <v xml:space="preserve"> [CR51] Lot abort unload fail RU-1B22 after ARR</v>
      </c>
      <c r="S86" s="347" t="str" cm="1">
        <f t="array" ref="S86">_xlfn.XLOOKUP(Errorlog_table[[#This Row],[AIR]],AIR_dump[[#All],[Number]],AIR_dump[[#All],[Close notes]])</f>
        <v>Planned patch W19 to mitigate clamp charge</v>
      </c>
      <c r="T86" s="347">
        <f>Errorlog_table[[#This Row],[Year_Week_Number]]</f>
        <v>202512</v>
      </c>
      <c r="U86" s="285" t="s">
        <v>239</v>
      </c>
      <c r="V86" s="317" t="s">
        <v>230</v>
      </c>
      <c r="W86" s="285" t="str">
        <f>Errorlog_table[[#This Row],[System]]</f>
        <v>CR51</v>
      </c>
      <c r="X86" s="347" t="str">
        <f>Errorlog_table[[#This Row],[link]]</f>
        <v>P860660</v>
      </c>
      <c r="Y86" s="277" t="str">
        <f>Errorlog_table[[#This Row],[Root_Error]]</f>
        <v>RU-1B22</v>
      </c>
      <c r="Z86" s="277" t="str">
        <f>Errorlog_table[[#This Row],[Description]]</f>
        <v>EpmID:113811| SCN - Re-Run NERSTD | RU-1B22 |</v>
      </c>
      <c r="AA86" s="277" t="str">
        <f t="shared" si="3"/>
        <v>Short down</v>
      </c>
      <c r="AB86" s="278">
        <f ca="1">_xlfn.ISOWEEKNUM(Errorlog_table[[#This Row],[Date]])+52*(Errorlog_table[[#This Row],[Year]]-YEAR(DATE(YEAR(TODAY()-WEEKDAY(TODAY()-1)+4),1,1)-MOD((DATE(YEAR(TODAY()-WEEKDAY(TODAY()-1)+4),1,1)-2),7)+(7*IF(MOD((DATE(YEAR(TODAY()-WEEKDAY(TODAY()-1)+4),1,1)-2),7)&gt;3,1,0))+7) )-_xlfn.ISOWEEKNUM(NOW())</f>
        <v>-25</v>
      </c>
      <c r="AC86" s="277">
        <f>COUNTIF(MTBF_pareto[AIR],Errorlog_table[[#This Row],[AIR]])</f>
        <v>0</v>
      </c>
      <c r="AD86" s="306" t="str">
        <f>TEXT(Errorlog_table[[#This Row],[Date]],"yyyy-mm-dd")&amp;"_"&amp;TEXT(Errorlog_table[[#This Row],[SDT_Timestamp]],"HH:MM:SS")&amp;"_"&amp;Errorlog_table[[#This Row],[System]]</f>
        <v>2025-03-19_01:38:00_CR51</v>
      </c>
      <c r="AE86" s="287" t="str">
        <f>Errorlog_table[[#This Row],[P_Hits]]</f>
        <v>N</v>
      </c>
      <c r="AF86" s="287">
        <v>0</v>
      </c>
    </row>
    <row r="87" spans="1:32" s="287" customFormat="1" ht="20.25" customHeight="1">
      <c r="A87" s="402" t="s">
        <v>4</v>
      </c>
      <c r="B87" s="293" t="str">
        <f>VLOOKUP(A87,'5000_Fleet'!A:D,2,FALSE)</f>
        <v>Intel</v>
      </c>
      <c r="C87" s="293" t="s">
        <v>488</v>
      </c>
      <c r="D87" s="293">
        <f>YEAR(DATE(YEAR(Errorlog_table[[#This Row],[Date]]-WEEKDAY(Errorlog_table[[#This Row],[Date]]-1)+4),1,1)-MOD((DATE(YEAR(Errorlog_table[[#This Row],[Date]]-WEEKDAY(Errorlog_table[[#This Row],[Date]]-1)+4),1,1)-2),7)+(7*IF(MOD((DATE(YEAR(Errorlog_table[[#This Row],[Date]]-WEEKDAY(Errorlog_table[[#This Row],[Date]]-1)+4),1,1)-2),7)&gt;3,1,0))+7)</f>
        <v>2025</v>
      </c>
      <c r="E87" s="278">
        <f>VALUE(TEXT(_xlfn.ISOWEEKNUM(Errorlog_table[[#This Row],[Date]]),"00"))</f>
        <v>12</v>
      </c>
      <c r="F87" s="410">
        <f>VALUE((Errorlog_table[[#This Row],[Year]])&amp;TEXT(Errorlog_table[[#This Row],[Week_Number]],"00"))</f>
        <v>202512</v>
      </c>
      <c r="G87" s="404">
        <v>45736</v>
      </c>
      <c r="H87" s="405">
        <v>0.39791666666666664</v>
      </c>
      <c r="I87" s="314" t="s">
        <v>489</v>
      </c>
      <c r="J87" s="347" t="str">
        <f>IF(LEN(VALUE(MID(Errorlog_table[[#This Row],[Description]],FIND(":",Errorlog_table[[#This Row],[Description]])+1,6)))&gt;1,MID(Errorlog_table[[#This Row],[Description]],FIND(":",Errorlog_table[[#This Row],[Description]])+1,6),"")</f>
        <v>114082</v>
      </c>
      <c r="K87" s="318">
        <v>4.3497219999999999</v>
      </c>
      <c r="L87" s="277" t="s">
        <v>118</v>
      </c>
      <c r="M87" s="293">
        <v>53089256</v>
      </c>
      <c r="N87" s="293" t="s">
        <v>490</v>
      </c>
      <c r="O87" s="281" t="str">
        <f t="shared" si="4"/>
        <v>P834708</v>
      </c>
      <c r="P87" s="277">
        <f>LEN(Errorlog_table[[#This Row],[AIR]])</f>
        <v>7</v>
      </c>
      <c r="Q87" t="str" cm="1">
        <f t="array" ref="Q87">IF(OR(Errorlog_table[[#This Row],[AIR]]="n/a",Errorlog_table[[#This Row],[Event_code]]="Y"),"n/a",IF(Errorlog_table[[#This Row],[AIR]]="","no AIR",_xlfn.XLOOKUP(Errorlog_table[[#This Row],[AIR]],AIR_dump[[#All],[Number]],AIR_dump[[#All],[Type]],"not found",0,1)))</f>
        <v>WH</v>
      </c>
      <c r="R87" s="283" t="str" cm="1">
        <f t="array" ref="R87">IF(OR(Errorlog_table[[#This Row],[AIR]]="n/a",Errorlog_table[[#This Row],[Event_code]]="Y"),"n/a",IF(Errorlog_table[[#This Row],[AIR]]="","no AIR",_xlfn.XLOOKUP(Errorlog_table[[#This Row],[AIR]],AIR_dump[[#All],[Number]],AIR_dump[[#All],[Summary]],"not found",0,1)))</f>
        <v>Tracking - Lot Aborted by WE-0406 WH SUR HIPA error</v>
      </c>
      <c r="S87" s="347" t="str" cm="1">
        <f t="array" ref="S87">_xlfn.XLOOKUP(Errorlog_table[[#This Row],[AIR]],AIR_dump[[#All],[Number]],AIR_dump[[#All],[Close notes]])</f>
        <v>[intake 2446]
wk50.2: Continue to monitor to ensure solution works
wk49.2: Being investigated and info coming in from LT.</v>
      </c>
      <c r="T87" s="347">
        <f>Errorlog_table[[#This Row],[Year_Week_Number]]</f>
        <v>202512</v>
      </c>
      <c r="U87" s="307" t="s">
        <v>230</v>
      </c>
      <c r="V87" s="284" t="s">
        <v>230</v>
      </c>
      <c r="W87" s="307" t="str">
        <f>Errorlog_table[[#This Row],[System]]</f>
        <v>CR51</v>
      </c>
      <c r="X87" s="347" t="str">
        <f>Errorlog_table[[#This Row],[link]]</f>
        <v>P834708</v>
      </c>
      <c r="Y87" s="277" t="str">
        <f>Errorlog_table[[#This Row],[Root_Error]]</f>
        <v>WX-2508</v>
      </c>
      <c r="Z87" s="293" t="str">
        <f>Errorlog_table[[#This Row],[Description]]</f>
        <v>EpmID:114082| SCN - Lot abort WX-2508 | WX-2508 |</v>
      </c>
      <c r="AA87" s="293" t="str">
        <f t="shared" si="3"/>
        <v>Short down</v>
      </c>
      <c r="AB87" s="315">
        <f ca="1">_xlfn.ISOWEEKNUM(Errorlog_table[[#This Row],[Date]])+52*(Errorlog_table[[#This Row],[Year]]-YEAR(DATE(YEAR(TODAY()-WEEKDAY(TODAY()-1)+4),1,1)-MOD((DATE(YEAR(TODAY()-WEEKDAY(TODAY()-1)+4),1,1)-2),7)+(7*IF(MOD((DATE(YEAR(TODAY()-WEEKDAY(TODAY()-1)+4),1,1)-2),7)&gt;3,1,0))+7) )-_xlfn.ISOWEEKNUM(NOW())</f>
        <v>-25</v>
      </c>
      <c r="AC87" s="293">
        <f>COUNTIF(MTBF_pareto[AIR],Errorlog_table[[#This Row],[AIR]])</f>
        <v>1</v>
      </c>
      <c r="AD87" s="306" t="str">
        <f>TEXT(Errorlog_table[[#This Row],[Date]],"yyyy-mm-dd")&amp;"_"&amp;TEXT(Errorlog_table[[#This Row],[SDT_Timestamp]],"HH:MM:SS")&amp;"_"&amp;Errorlog_table[[#This Row],[System]]</f>
        <v>2025-03-20_09:33:00_CR51</v>
      </c>
      <c r="AE87" s="287" t="str">
        <f>Errorlog_table[[#This Row],[P_Hits]]</f>
        <v>Y</v>
      </c>
      <c r="AF87" s="287">
        <v>0</v>
      </c>
    </row>
    <row r="88" spans="1:32" ht="28.5">
      <c r="A88" s="398" t="s">
        <v>7</v>
      </c>
      <c r="B88" s="293" t="str">
        <f>VLOOKUP(A88,'5000_Fleet'!A:D,2,FALSE)</f>
        <v>Intel</v>
      </c>
      <c r="C88" s="289" t="s">
        <v>491</v>
      </c>
      <c r="D88" s="289">
        <f>YEAR(DATE(YEAR(Errorlog_table[[#This Row],[Date]]-WEEKDAY(Errorlog_table[[#This Row],[Date]]-1)+4),1,1)-MOD((DATE(YEAR(Errorlog_table[[#This Row],[Date]]-WEEKDAY(Errorlog_table[[#This Row],[Date]]-1)+4),1,1)-2),7)+(7*IF(MOD((DATE(YEAR(Errorlog_table[[#This Row],[Date]]-WEEKDAY(Errorlog_table[[#This Row],[Date]]-1)+4),1,1)-2),7)&gt;3,1,0))+7)</f>
        <v>2025</v>
      </c>
      <c r="E88" s="278">
        <f>VALUE(TEXT(_xlfn.ISOWEEKNUM(Errorlog_table[[#This Row],[Date]]),"00"))</f>
        <v>12</v>
      </c>
      <c r="F88" s="410">
        <f>VALUE((Errorlog_table[[#This Row],[Year]])&amp;TEXT(Errorlog_table[[#This Row],[Week_Number]],"00"))</f>
        <v>202512</v>
      </c>
      <c r="G88" s="384">
        <v>45737</v>
      </c>
      <c r="H88" s="289" t="s">
        <v>492</v>
      </c>
      <c r="I88" s="289" t="s">
        <v>493</v>
      </c>
      <c r="J88" s="347" t="str">
        <f>IF(LEN(VALUE(MID(Errorlog_table[[#This Row],[Description]],FIND(":",Errorlog_table[[#This Row],[Description]])+1,6)))&gt;1,MID(Errorlog_table[[#This Row],[Description]],FIND(":",Errorlog_table[[#This Row],[Description]])+1,6),"")</f>
        <v>114164</v>
      </c>
      <c r="K88" s="289">
        <v>3.65</v>
      </c>
      <c r="L88" s="289" t="s">
        <v>126</v>
      </c>
      <c r="M88" s="293">
        <v>53090447</v>
      </c>
      <c r="N88" s="293" t="s">
        <v>494</v>
      </c>
      <c r="O88" s="281" t="str">
        <f t="shared" si="4"/>
        <v>P870861</v>
      </c>
      <c r="P88" s="277">
        <f>LEN(Errorlog_table[[#This Row],[AIR]])</f>
        <v>7</v>
      </c>
      <c r="Q88" cm="1">
        <f t="array" ref="Q88">IF(OR(Errorlog_table[[#This Row],[AIR]]="n/a",Errorlog_table[[#This Row],[Event_code]]="Y"),"n/a",IF(Errorlog_table[[#This Row],[AIR]]="","no AIR",_xlfn.XLOOKUP(Errorlog_table[[#This Row],[AIR]],AIR_dump[[#All],[Number]],AIR_dump[[#All],[Type]],"not found",0,1)))</f>
        <v>0</v>
      </c>
      <c r="R88" s="283" t="str" cm="1">
        <f t="array" ref="R88">IF(OR(Errorlog_table[[#This Row],[AIR]]="n/a",Errorlog_table[[#This Row],[Event_code]]="Y"),"n/a",IF(Errorlog_table[[#This Row],[AIR]]="","no AIR",_xlfn.XLOOKUP(Errorlog_table[[#This Row],[AIR]],AIR_dump[[#All],[Number]],AIR_dump[[#All],[Summary]],"not found",0,1)))</f>
        <v>MMDC for X mutual crash protection can give false positive trips after MRE2OC calibration</v>
      </c>
      <c r="S88" s="347" t="str" cm="1">
        <f t="array" ref="S88">_xlfn.XLOOKUP(Errorlog_table[[#This Row],[AIR]],AIR_dump[[#All],[Number]],AIR_dump[[#All],[Close notes]])</f>
        <v>RCA</v>
      </c>
      <c r="T88" s="347">
        <f>Errorlog_table[[#This Row],[Year_Week_Number]]</f>
        <v>202512</v>
      </c>
      <c r="U88" s="307" t="s">
        <v>239</v>
      </c>
      <c r="V88" s="284" t="s">
        <v>230</v>
      </c>
      <c r="W88" s="307" t="str">
        <f>Errorlog_table[[#This Row],[System]]</f>
        <v>GY86</v>
      </c>
      <c r="X88" s="347" t="str">
        <f>Errorlog_table[[#This Row],[link]]</f>
        <v>P870861</v>
      </c>
      <c r="Y88" s="277" t="str">
        <f>Errorlog_table[[#This Row],[Root_Error]]</f>
        <v>PG-7406</v>
      </c>
      <c r="Z88" s="293" t="str">
        <f>Errorlog_table[[#This Row],[Description]]</f>
        <v>EpmID:114164| SCN- Lot ops start failed RM MMDC | PG-7406 |</v>
      </c>
      <c r="AA88" s="293" t="str">
        <f t="shared" si="3"/>
        <v>Short down</v>
      </c>
      <c r="AB88" s="315">
        <f ca="1">_xlfn.ISOWEEKNUM(Errorlog_table[[#This Row],[Date]])+52*(Errorlog_table[[#This Row],[Year]]-YEAR(DATE(YEAR(TODAY()-WEEKDAY(TODAY()-1)+4),1,1)-MOD((DATE(YEAR(TODAY()-WEEKDAY(TODAY()-1)+4),1,1)-2),7)+(7*IF(MOD((DATE(YEAR(TODAY()-WEEKDAY(TODAY()-1)+4),1,1)-2),7)&gt;3,1,0))+7) )-_xlfn.ISOWEEKNUM(NOW())</f>
        <v>-25</v>
      </c>
      <c r="AC88" s="293">
        <f>COUNTIF(MTBF_pareto[AIR],Errorlog_table[[#This Row],[AIR]])</f>
        <v>0</v>
      </c>
      <c r="AD88" s="306" t="str">
        <f>TEXT(Errorlog_table[[#This Row],[Date]],"yyyy-mm-dd")&amp;"_"&amp;TEXT(Errorlog_table[[#This Row],[SDT_Timestamp]],"HH:MM:SS")&amp;"_"&amp;Errorlog_table[[#This Row],[System]]</f>
        <v>2025-03-21_17:14:00_GY86</v>
      </c>
      <c r="AE88" s="287" t="str">
        <f>Errorlog_table[[#This Row],[P_Hits]]</f>
        <v>N</v>
      </c>
      <c r="AF88" s="287">
        <v>0</v>
      </c>
    </row>
    <row r="89" spans="1:32" ht="28.5">
      <c r="A89" s="398" t="s">
        <v>7</v>
      </c>
      <c r="B89" s="293" t="str">
        <f>VLOOKUP(A89,'5000_Fleet'!A:D,2,FALSE)</f>
        <v>Intel</v>
      </c>
      <c r="C89" s="289" t="s">
        <v>434</v>
      </c>
      <c r="D89" s="289">
        <f>YEAR(DATE(YEAR(Errorlog_table[[#This Row],[Date]]-WEEKDAY(Errorlog_table[[#This Row],[Date]]-1)+4),1,1)-MOD((DATE(YEAR(Errorlog_table[[#This Row],[Date]]-WEEKDAY(Errorlog_table[[#This Row],[Date]]-1)+4),1,1)-2),7)+(7*IF(MOD((DATE(YEAR(Errorlog_table[[#This Row],[Date]]-WEEKDAY(Errorlog_table[[#This Row],[Date]]-1)+4),1,1)-2),7)&gt;3,1,0))+7)</f>
        <v>2025</v>
      </c>
      <c r="E89" s="278">
        <f>VALUE(TEXT(_xlfn.ISOWEEKNUM(Errorlog_table[[#This Row],[Date]]),"00"))</f>
        <v>12</v>
      </c>
      <c r="F89" s="410">
        <f>VALUE((Errorlog_table[[#This Row],[Year]])&amp;TEXT(Errorlog_table[[#This Row],[Week_Number]],"00"))</f>
        <v>202512</v>
      </c>
      <c r="G89" s="384">
        <v>45739</v>
      </c>
      <c r="H89" s="289" t="s">
        <v>495</v>
      </c>
      <c r="I89" s="289" t="s">
        <v>496</v>
      </c>
      <c r="J89" s="347" t="str">
        <f>IF(LEN(VALUE(MID(Errorlog_table[[#This Row],[Description]],FIND(":",Errorlog_table[[#This Row],[Description]])+1,6)))&gt;1,MID(Errorlog_table[[#This Row],[Description]],FIND(":",Errorlog_table[[#This Row],[Description]])+1,6),"")</f>
        <v>114178</v>
      </c>
      <c r="K89" s="289">
        <v>2</v>
      </c>
      <c r="M89" s="293">
        <v>53090447</v>
      </c>
      <c r="N89" s="293" t="s">
        <v>494</v>
      </c>
      <c r="O89" s="281" t="str">
        <f t="shared" si="4"/>
        <v>P870861</v>
      </c>
      <c r="P89" s="277">
        <f>LEN(Errorlog_table[[#This Row],[AIR]])</f>
        <v>7</v>
      </c>
      <c r="Q89" cm="1">
        <f t="array" ref="Q89">IF(OR(Errorlog_table[[#This Row],[AIR]]="n/a",Errorlog_table[[#This Row],[Event_code]]="Y"),"n/a",IF(Errorlog_table[[#This Row],[AIR]]="","no AIR",_xlfn.XLOOKUP(Errorlog_table[[#This Row],[AIR]],AIR_dump[[#All],[Number]],AIR_dump[[#All],[Type]],"not found",0,1)))</f>
        <v>0</v>
      </c>
      <c r="R89" s="283" t="str" cm="1">
        <f t="array" ref="R89">IF(OR(Errorlog_table[[#This Row],[AIR]]="n/a",Errorlog_table[[#This Row],[Event_code]]="Y"),"n/a",IF(Errorlog_table[[#This Row],[AIR]]="","no AIR",_xlfn.XLOOKUP(Errorlog_table[[#This Row],[AIR]],AIR_dump[[#All],[Number]],AIR_dump[[#All],[Summary]],"not found",0,1)))</f>
        <v>MMDC for X mutual crash protection can give false positive trips after MRE2OC calibration</v>
      </c>
      <c r="S89" s="347" t="str" cm="1">
        <f t="array" ref="S89">_xlfn.XLOOKUP(Errorlog_table[[#This Row],[AIR]],AIR_dump[[#All],[Number]],AIR_dump[[#All],[Close notes]])</f>
        <v>RCA</v>
      </c>
      <c r="T89" s="347">
        <f>Errorlog_table[[#This Row],[Year_Week_Number]]</f>
        <v>202512</v>
      </c>
      <c r="U89" s="307" t="s">
        <v>230</v>
      </c>
      <c r="V89" s="284" t="s">
        <v>230</v>
      </c>
      <c r="W89" s="307" t="str">
        <f>Errorlog_table[[#This Row],[System]]</f>
        <v>GY86</v>
      </c>
      <c r="X89" s="347" t="str">
        <f>Errorlog_table[[#This Row],[link]]</f>
        <v>P870861</v>
      </c>
      <c r="Y89" s="277" t="str">
        <f>Errorlog_table[[#This Row],[Root_Error]]</f>
        <v>RM-3246</v>
      </c>
      <c r="Z89" s="293" t="str">
        <f>Errorlog_table[[#This Row],[Description]]</f>
        <v>EpmID:114178| SCN - Lot Abort for RM MMDC error | RM-3246 |</v>
      </c>
      <c r="AA89" s="293" t="str">
        <f t="shared" si="3"/>
        <v>Short down</v>
      </c>
      <c r="AB89" s="315">
        <f ca="1">_xlfn.ISOWEEKNUM(Errorlog_table[[#This Row],[Date]])+52*(Errorlog_table[[#This Row],[Year]]-YEAR(DATE(YEAR(TODAY()-WEEKDAY(TODAY()-1)+4),1,1)-MOD((DATE(YEAR(TODAY()-WEEKDAY(TODAY()-1)+4),1,1)-2),7)+(7*IF(MOD((DATE(YEAR(TODAY()-WEEKDAY(TODAY()-1)+4),1,1)-2),7)&gt;3,1,0))+7) )-_xlfn.ISOWEEKNUM(NOW())</f>
        <v>-25</v>
      </c>
      <c r="AC89" s="293">
        <f>COUNTIF(MTBF_pareto[AIR],Errorlog_table[[#This Row],[AIR]])</f>
        <v>0</v>
      </c>
      <c r="AD89" s="306" t="str">
        <f>TEXT(Errorlog_table[[#This Row],[Date]],"yyyy-mm-dd")&amp;"_"&amp;TEXT(Errorlog_table[[#This Row],[SDT_Timestamp]],"HH:MM:SS")&amp;"_"&amp;Errorlog_table[[#This Row],[System]]</f>
        <v>2025-03-23_07:52:00_GY86</v>
      </c>
      <c r="AE89" s="287" t="str">
        <f>Errorlog_table[[#This Row],[P_Hits]]</f>
        <v>Y</v>
      </c>
      <c r="AF89" s="287">
        <v>0</v>
      </c>
    </row>
    <row r="90" spans="1:32" ht="15">
      <c r="A90" s="369" t="s">
        <v>7</v>
      </c>
      <c r="B90" s="277" t="str">
        <f>VLOOKUP(A90,'5000_Fleet'!A:D,2,FALSE)</f>
        <v>Intel</v>
      </c>
      <c r="C90" s="289" t="s">
        <v>506</v>
      </c>
      <c r="D90" s="289">
        <f>YEAR(DATE(YEAR(Errorlog_table[[#This Row],[Date]]-WEEKDAY(Errorlog_table[[#This Row],[Date]]-1)+4),1,1)-MOD((DATE(YEAR(Errorlog_table[[#This Row],[Date]]-WEEKDAY(Errorlog_table[[#This Row],[Date]]-1)+4),1,1)-2),7)+(7*IF(MOD((DATE(YEAR(Errorlog_table[[#This Row],[Date]]-WEEKDAY(Errorlog_table[[#This Row],[Date]]-1)+4),1,1)-2),7)&gt;3,1,0))+7)</f>
        <v>2025</v>
      </c>
      <c r="E90" s="278">
        <f>VALUE(TEXT(_xlfn.ISOWEEKNUM(Errorlog_table[[#This Row],[Date]]),"00"))</f>
        <v>13</v>
      </c>
      <c r="F90" s="410">
        <f>VALUE((Errorlog_table[[#This Row],[Year]])&amp;TEXT(Errorlog_table[[#This Row],[Week_Number]],"00"))</f>
        <v>202513</v>
      </c>
      <c r="G90" s="384">
        <v>45741</v>
      </c>
      <c r="H90" s="289" t="s">
        <v>507</v>
      </c>
      <c r="I90" s="289" t="s">
        <v>508</v>
      </c>
      <c r="J90" s="401" t="str">
        <f>IF(LEN(VALUE(MID(Errorlog_table[[#This Row],[Description]],FIND(":",Errorlog_table[[#This Row],[Description]])+1,6)))&gt;1,MID(Errorlog_table[[#This Row],[Description]],FIND(":",Errorlog_table[[#This Row],[Description]])+1,6),"")</f>
        <v>114415</v>
      </c>
      <c r="K90" s="289">
        <v>6.016667</v>
      </c>
      <c r="L90" s="277" t="s">
        <v>509</v>
      </c>
      <c r="M90" s="277">
        <v>53092592</v>
      </c>
      <c r="N90" s="499" t="s">
        <v>510</v>
      </c>
      <c r="O90" s="281" t="str">
        <f t="shared" si="4"/>
        <v>P871028</v>
      </c>
      <c r="P90" s="277">
        <f>LEN(Errorlog_table[[#This Row],[AIR]])</f>
        <v>7</v>
      </c>
      <c r="Q90" cm="1">
        <f t="array" ref="Q90">IF(OR(Errorlog_table[[#This Row],[AIR]]="n/a",Errorlog_table[[#This Row],[Event_code]]="Y"),"n/a",IF(Errorlog_table[[#This Row],[AIR]]="","no AIR",_xlfn.XLOOKUP(Errorlog_table[[#This Row],[AIR]],AIR_dump[[#All],[Number]],AIR_dump[[#All],[Type]],"not found",0,1)))</f>
        <v>0</v>
      </c>
      <c r="R90" s="283" t="str" cm="1">
        <f t="array" ref="R90">IF(OR(Errorlog_table[[#This Row],[AIR]]="n/a",Errorlog_table[[#This Row],[Event_code]]="Y"),"n/a",IF(Errorlog_table[[#This Row],[AIR]]="","no AIR",_xlfn.XLOOKUP(Errorlog_table[[#This Row],[AIR]],AIR_dump[[#All],[Number]],AIR_dump[[#All],[Summary]],"not found",0,1)))</f>
        <v>GY86: Lot abort caused by PCW Temp Sensor! (41R2 +41R1)</v>
      </c>
      <c r="S90" s="347" t="str" cm="1">
        <f t="array" ref="S90">_xlfn.XLOOKUP(Errorlog_table[[#This Row],[AIR]],AIR_dump[[#All],[Number]],AIR_dump[[#All],[Close notes]])</f>
        <v>RCA</v>
      </c>
      <c r="T90" s="347">
        <f>Errorlog_table[[#This Row],[Year_Week_Number]]</f>
        <v>202513</v>
      </c>
      <c r="U90" s="307" t="s">
        <v>230</v>
      </c>
      <c r="V90" s="284" t="s">
        <v>230</v>
      </c>
      <c r="W90" s="285" t="str">
        <f>Errorlog_table[[#This Row],[System]]</f>
        <v>GY86</v>
      </c>
      <c r="X90" s="347" t="str">
        <f>Errorlog_table[[#This Row],[link]]</f>
        <v>P871028</v>
      </c>
      <c r="Y90" s="277" t="str">
        <f>Errorlog_table[[#This Row],[Root_Error]]</f>
        <v xml:space="preserve">WXP-021 </v>
      </c>
      <c r="Z90" s="277" t="str">
        <f>Errorlog_table[[#This Row],[Description]]</f>
        <v>EpmID:114415| SCN - Lot Abort | WXP-021 |  P871351</v>
      </c>
      <c r="AA90" s="277" t="str">
        <f t="shared" si="3"/>
        <v>Short down</v>
      </c>
      <c r="AB90" s="278">
        <f ca="1">_xlfn.ISOWEEKNUM(Errorlog_table[[#This Row],[Date]])+52*(Errorlog_table[[#This Row],[Year]]-YEAR(DATE(YEAR(TODAY()-WEEKDAY(TODAY()-1)+4),1,1)-MOD((DATE(YEAR(TODAY()-WEEKDAY(TODAY()-1)+4),1,1)-2),7)+(7*IF(MOD((DATE(YEAR(TODAY()-WEEKDAY(TODAY()-1)+4),1,1)-2),7)&gt;3,1,0))+7) )-_xlfn.ISOWEEKNUM(NOW())</f>
        <v>-24</v>
      </c>
      <c r="AC90" s="277">
        <f>COUNTIF(MTBF_pareto[AIR],Errorlog_table[[#This Row],[AIR]])</f>
        <v>0</v>
      </c>
      <c r="AD90" s="306" t="str">
        <f>TEXT(Errorlog_table[[#This Row],[Date]],"yyyy-mm-dd")&amp;"_"&amp;TEXT(Errorlog_table[[#This Row],[SDT_Timestamp]],"HH:MM:SS")&amp;"_"&amp;Errorlog_table[[#This Row],[System]]</f>
        <v>2025-03-25_03:51:00_GY86</v>
      </c>
      <c r="AE90" s="287" t="str">
        <f>Errorlog_table[[#This Row],[P_Hits]]</f>
        <v>Y</v>
      </c>
      <c r="AF90" s="287">
        <v>0</v>
      </c>
    </row>
    <row r="91" spans="1:32" ht="28.5">
      <c r="A91" s="369" t="s">
        <v>4</v>
      </c>
      <c r="B91" s="293" t="str">
        <f>VLOOKUP(A91,'5000_Fleet'!A:D,2,FALSE)</f>
        <v>Intel</v>
      </c>
      <c r="C91" s="289" t="s">
        <v>497</v>
      </c>
      <c r="D91" s="289">
        <f>YEAR(DATE(YEAR(Errorlog_table[[#This Row],[Date]]-WEEKDAY(Errorlog_table[[#This Row],[Date]]-1)+4),1,1)-MOD((DATE(YEAR(Errorlog_table[[#This Row],[Date]]-WEEKDAY(Errorlog_table[[#This Row],[Date]]-1)+4),1,1)-2),7)+(7*IF(MOD((DATE(YEAR(Errorlog_table[[#This Row],[Date]]-WEEKDAY(Errorlog_table[[#This Row],[Date]]-1)+4),1,1)-2),7)&gt;3,1,0))+7)</f>
        <v>2025</v>
      </c>
      <c r="E91" s="278">
        <f>VALUE(TEXT(_xlfn.ISOWEEKNUM(Errorlog_table[[#This Row],[Date]]),"00"))</f>
        <v>13</v>
      </c>
      <c r="F91" s="410">
        <f>VALUE((Errorlog_table[[#This Row],[Year]])&amp;TEXT(Errorlog_table[[#This Row],[Week_Number]],"00"))</f>
        <v>202513</v>
      </c>
      <c r="G91" s="384">
        <v>45742</v>
      </c>
      <c r="H91" s="289" t="s">
        <v>498</v>
      </c>
      <c r="I91" s="289" t="s">
        <v>499</v>
      </c>
      <c r="J91" s="401" t="str">
        <f>IF(LEN(VALUE(MID(Errorlog_table[[#This Row],[Description]],FIND(":",Errorlog_table[[#This Row],[Description]])+1,6)))&gt;1,MID(Errorlog_table[[#This Row],[Description]],FIND(":",Errorlog_table[[#This Row],[Description]])+1,6),"")</f>
        <v>115016</v>
      </c>
      <c r="K91" s="289">
        <v>1.8333330000000001</v>
      </c>
      <c r="L91" s="293" t="s">
        <v>500</v>
      </c>
      <c r="M91" s="293">
        <v>53095001</v>
      </c>
      <c r="N91" s="287" t="s">
        <v>501</v>
      </c>
      <c r="O91" s="281" t="str">
        <f t="shared" si="4"/>
        <v>P820514</v>
      </c>
      <c r="P91" s="277">
        <f>LEN(Errorlog_table[[#This Row],[AIR]])</f>
        <v>7</v>
      </c>
      <c r="Q91" cm="1">
        <f t="array" ref="Q91">IF(OR(Errorlog_table[[#This Row],[AIR]]="n/a",Errorlog_table[[#This Row],[Event_code]]="Y"),"n/a",IF(Errorlog_table[[#This Row],[AIR]]="","no AIR",_xlfn.XLOOKUP(Errorlog_table[[#This Row],[AIR]],AIR_dump[[#All],[Number]],AIR_dump[[#All],[Type]],"not found",0,1)))</f>
        <v>0</v>
      </c>
      <c r="R91" s="420" t="str" cm="1">
        <f t="array" ref="R91">IF(OR(Errorlog_table[[#This Row],[AIR]]="n/a",Errorlog_table[[#This Row],[Event_code]]="Y"),"n/a",IF(Errorlog_table[[#This Row],[AIR]]="","no AIR",_xlfn.XLOOKUP(Errorlog_table[[#This Row],[AIR]],AIR_dump[[#All],[Number]],AIR_dump[[#All],[Summary]],"not found",0,1)))</f>
        <v>[GY86] PX-B6FC Laser amplifier error: HILA Response communication error detected.</v>
      </c>
      <c r="S91" s="347" t="str" cm="1">
        <f t="array" ref="S91">_xlfn.XLOOKUP(Errorlog_table[[#This Row],[AIR]],AIR_dump[[#All],[Number]],AIR_dump[[#All],[Close notes]])</f>
        <v>Target release SP23</v>
      </c>
      <c r="T91" s="347">
        <f>Errorlog_table[[#This Row],[Year_Week_Number]]</f>
        <v>202513</v>
      </c>
      <c r="U91" s="307" t="s">
        <v>230</v>
      </c>
      <c r="V91" s="284" t="s">
        <v>230</v>
      </c>
      <c r="W91" s="307" t="str">
        <f>Errorlog_table[[#This Row],[System]]</f>
        <v>CR51</v>
      </c>
      <c r="X91" s="347" t="str">
        <f>Errorlog_table[[#This Row],[link]]</f>
        <v>P820514</v>
      </c>
      <c r="Y91" s="277" t="str">
        <f>Errorlog_table[[#This Row],[Root_Error]]</f>
        <v>PX-B6FC</v>
      </c>
      <c r="Z91" s="293" t="str">
        <f>Errorlog_table[[#This Row],[Description]]</f>
        <v>EpmID:115016| SCN - Wafer movement stopped due to PX error and wafer rejects | PX-B6FC |</v>
      </c>
      <c r="AA91" s="293" t="str">
        <f t="shared" si="3"/>
        <v>Short down</v>
      </c>
      <c r="AB91" s="315">
        <f ca="1">_xlfn.ISOWEEKNUM(Errorlog_table[[#This Row],[Date]])+52*(Errorlog_table[[#This Row],[Year]]-YEAR(DATE(YEAR(TODAY()-WEEKDAY(TODAY()-1)+4),1,1)-MOD((DATE(YEAR(TODAY()-WEEKDAY(TODAY()-1)+4),1,1)-2),7)+(7*IF(MOD((DATE(YEAR(TODAY()-WEEKDAY(TODAY()-1)+4),1,1)-2),7)&gt;3,1,0))+7) )-_xlfn.ISOWEEKNUM(NOW())</f>
        <v>-24</v>
      </c>
      <c r="AC91" s="293">
        <f>COUNTIF(MTBF_pareto[AIR],Errorlog_table[[#This Row],[AIR]])</f>
        <v>0</v>
      </c>
      <c r="AD91" s="306" t="str">
        <f>TEXT(Errorlog_table[[#This Row],[Date]],"yyyy-mm-dd")&amp;"_"&amp;TEXT(Errorlog_table[[#This Row],[SDT_Timestamp]],"HH:MM:SS")&amp;"_"&amp;Errorlog_table[[#This Row],[System]]</f>
        <v>2025-03-26_07:54:00_CR51</v>
      </c>
      <c r="AE91" s="287" t="str">
        <f>Errorlog_table[[#This Row],[P_Hits]]</f>
        <v>Y</v>
      </c>
      <c r="AF91" s="287">
        <v>0</v>
      </c>
    </row>
    <row r="92" spans="1:32" ht="15">
      <c r="A92" s="369" t="s">
        <v>4</v>
      </c>
      <c r="B92" s="293" t="str">
        <f>VLOOKUP(A92,'5000_Fleet'!A:D,2,FALSE)</f>
        <v>Intel</v>
      </c>
      <c r="C92" s="289" t="s">
        <v>502</v>
      </c>
      <c r="D92" s="289">
        <f>YEAR(DATE(YEAR(Errorlog_table[[#This Row],[Date]]-WEEKDAY(Errorlog_table[[#This Row],[Date]]-1)+4),1,1)-MOD((DATE(YEAR(Errorlog_table[[#This Row],[Date]]-WEEKDAY(Errorlog_table[[#This Row],[Date]]-1)+4),1,1)-2),7)+(7*IF(MOD((DATE(YEAR(Errorlog_table[[#This Row],[Date]]-WEEKDAY(Errorlog_table[[#This Row],[Date]]-1)+4),1,1)-2),7)&gt;3,1,0))+7)</f>
        <v>2025</v>
      </c>
      <c r="E92" s="278">
        <f>VALUE(TEXT(_xlfn.ISOWEEKNUM(Errorlog_table[[#This Row],[Date]]),"00"))</f>
        <v>13</v>
      </c>
      <c r="F92" s="410">
        <f>VALUE((Errorlog_table[[#This Row],[Year]])&amp;TEXT(Errorlog_table[[#This Row],[Week_Number]],"00"))</f>
        <v>202513</v>
      </c>
      <c r="G92" s="384">
        <v>45744</v>
      </c>
      <c r="H92" s="289" t="s">
        <v>503</v>
      </c>
      <c r="I92" s="289" t="s">
        <v>504</v>
      </c>
      <c r="J92" s="401" t="str">
        <f>IF(LEN(VALUE(MID(Errorlog_table[[#This Row],[Description]],FIND(":",Errorlog_table[[#This Row],[Description]])+1,6)))&gt;1,MID(Errorlog_table[[#This Row],[Description]],FIND(":",Errorlog_table[[#This Row],[Description]])+1,6),"")</f>
        <v>115133</v>
      </c>
      <c r="K92" s="289">
        <v>3.8166669999999998</v>
      </c>
      <c r="L92" s="293" t="s">
        <v>458</v>
      </c>
      <c r="M92" s="293">
        <v>53097371</v>
      </c>
      <c r="N92" s="368" t="s">
        <v>505</v>
      </c>
      <c r="O92" s="281" t="str">
        <f t="shared" si="4"/>
        <v>P873253</v>
      </c>
      <c r="P92" s="277">
        <f>LEN(Errorlog_table[[#This Row],[AIR]])</f>
        <v>7</v>
      </c>
      <c r="Q92" cm="1">
        <f t="array" ref="Q92">IF(OR(Errorlog_table[[#This Row],[AIR]]="n/a",Errorlog_table[[#This Row],[Event_code]]="Y"),"n/a",IF(Errorlog_table[[#This Row],[AIR]]="","no AIR",_xlfn.XLOOKUP(Errorlog_table[[#This Row],[AIR]],AIR_dump[[#All],[Number]],AIR_dump[[#All],[Type]],"not found",0,1)))</f>
        <v>0</v>
      </c>
      <c r="R92" s="503" t="s">
        <v>504</v>
      </c>
      <c r="S92" s="347" t="str" cm="1">
        <f t="array" ref="S92">_xlfn.XLOOKUP(Errorlog_table[[#This Row],[AIR]],AIR_dump[[#All],[Number]],AIR_dump[[#All],[Close notes]])</f>
        <v>Waiting on intake</v>
      </c>
      <c r="T92" s="347">
        <f>Errorlog_table[[#This Row],[Year_Week_Number]]</f>
        <v>202513</v>
      </c>
      <c r="U92" s="307" t="s">
        <v>230</v>
      </c>
      <c r="V92" s="284" t="s">
        <v>230</v>
      </c>
      <c r="W92" s="307" t="str">
        <f>Errorlog_table[[#This Row],[System]]</f>
        <v>CR51</v>
      </c>
      <c r="X92" s="347" t="s">
        <v>505</v>
      </c>
      <c r="Y92" s="277" t="str">
        <f>Errorlog_table[[#This Row],[Root_Error]]</f>
        <v>RU-2B1D</v>
      </c>
      <c r="Z92" s="293" t="str">
        <f>Errorlog_table[[#This Row],[Description]]</f>
        <v>EpmID:115133| SCN - Lot Abort for RED MMDC | RU-2B1D | PG-6208</v>
      </c>
      <c r="AA92" s="293" t="str">
        <f t="shared" si="3"/>
        <v>Short down</v>
      </c>
      <c r="AB92" s="315">
        <f ca="1">_xlfn.ISOWEEKNUM(Errorlog_table[[#This Row],[Date]])+52*(Errorlog_table[[#This Row],[Year]]-YEAR(DATE(YEAR(TODAY()-WEEKDAY(TODAY()-1)+4),1,1)-MOD((DATE(YEAR(TODAY()-WEEKDAY(TODAY()-1)+4),1,1)-2),7)+(7*IF(MOD((DATE(YEAR(TODAY()-WEEKDAY(TODAY()-1)+4),1,1)-2),7)&gt;3,1,0))+7) )-_xlfn.ISOWEEKNUM(NOW())</f>
        <v>-24</v>
      </c>
      <c r="AC92" s="293">
        <f>COUNTIF(MTBF_pareto[AIR],Errorlog_table[[#This Row],[AIR]])</f>
        <v>0</v>
      </c>
      <c r="AD92" s="306" t="str">
        <f>TEXT(Errorlog_table[[#This Row],[Date]],"yyyy-mm-dd")&amp;"_"&amp;TEXT(Errorlog_table[[#This Row],[SDT_Timestamp]],"HH:MM:SS")&amp;"_"&amp;Errorlog_table[[#This Row],[System]]</f>
        <v>2025-03-28_11:18:00_CR51</v>
      </c>
      <c r="AE92" s="287" t="str">
        <f>Errorlog_table[[#This Row],[P_Hits]]</f>
        <v>Y</v>
      </c>
      <c r="AF92" s="287">
        <v>0</v>
      </c>
    </row>
    <row r="93" spans="1:32" ht="15">
      <c r="A93" s="314" t="s">
        <v>4</v>
      </c>
      <c r="B93" s="277" t="str">
        <f>VLOOKUP(A93,'5000_Fleet'!A:D,2,FALSE)</f>
        <v>Intel</v>
      </c>
      <c r="C93" s="314" t="s">
        <v>164</v>
      </c>
      <c r="D93" s="314">
        <f>YEAR(DATE(YEAR(Errorlog_table[[#This Row],[Date]]-WEEKDAY(Errorlog_table[[#This Row],[Date]]-1)+4),1,1)-MOD((DATE(YEAR(Errorlog_table[[#This Row],[Date]]-WEEKDAY(Errorlog_table[[#This Row],[Date]]-1)+4),1,1)-2),7)+(7*IF(MOD((DATE(YEAR(Errorlog_table[[#This Row],[Date]]-WEEKDAY(Errorlog_table[[#This Row],[Date]]-1)+4),1,1)-2),7)&gt;3,1,0))+7)</f>
        <v>2025</v>
      </c>
      <c r="E93" s="278">
        <f>VALUE(TEXT(_xlfn.ISOWEEKNUM(Errorlog_table[[#This Row],[Date]]),"00"))</f>
        <v>14</v>
      </c>
      <c r="F93" s="410">
        <f>VALUE((Errorlog_table[[#This Row],[Year]])&amp;TEXT(Errorlog_table[[#This Row],[Week_Number]],"00"))</f>
        <v>202514</v>
      </c>
      <c r="G93" s="406">
        <v>45747</v>
      </c>
      <c r="H93" s="403" t="s">
        <v>519</v>
      </c>
      <c r="I93" s="314" t="s">
        <v>520</v>
      </c>
      <c r="J93" s="347" t="str">
        <f>IF(LEN(VALUE(MID(Errorlog_table[[#This Row],[Description]],FIND(":",Errorlog_table[[#This Row],[Description]])+1,6)))&gt;1,MID(Errorlog_table[[#This Row],[Description]],FIND(":",Errorlog_table[[#This Row],[Description]])+1,6),"")</f>
        <v>115267</v>
      </c>
      <c r="K93" s="314">
        <v>17.183333000000001</v>
      </c>
      <c r="L93" s="314" t="s">
        <v>98</v>
      </c>
      <c r="M93" s="277">
        <v>53100110</v>
      </c>
      <c r="N93" s="293" t="s">
        <v>521</v>
      </c>
      <c r="O93" s="281" t="str">
        <f t="shared" si="4"/>
        <v>P872290</v>
      </c>
      <c r="P93" s="277">
        <f>LEN(Errorlog_table[[#This Row],[AIR]])</f>
        <v>7</v>
      </c>
      <c r="Q93" cm="1">
        <f t="array" ref="Q93">IF(OR(Errorlog_table[[#This Row],[AIR]]="n/a",Errorlog_table[[#This Row],[Event_code]]="Y"),"n/a",IF(Errorlog_table[[#This Row],[AIR]]="","no AIR",_xlfn.XLOOKUP(Errorlog_table[[#This Row],[AIR]],AIR_dump[[#All],[Number]],AIR_dump[[#All],[Type]],"not found",0,1)))</f>
        <v>0</v>
      </c>
      <c r="R93" s="282" t="str" cm="1">
        <f t="array" ref="R93">IF(OR(Errorlog_table[[#This Row],[AIR]]="n/a",Errorlog_table[[#This Row],[Event_code]]="Y"),"n/a",IF(Errorlog_table[[#This Row],[AIR]]="","no AIR",_xlfn.XLOOKUP(Errorlog_table[[#This Row],[AIR]],AIR_dump[[#All],[Number]],AIR_dump[[#All],[Summary]],"not found",0,1)))</f>
        <v>[EXE] [CR51] WP-2C1D HIPA internal 12V low error</v>
      </c>
      <c r="S93" s="347" t="str" cm="1">
        <f t="array" ref="S93">_xlfn.XLOOKUP(Errorlog_table[[#This Row],[AIR]],AIR_dump[[#All],[Number]],AIR_dump[[#All],[Close notes]])</f>
        <v>Needs intake</v>
      </c>
      <c r="T93" s="347">
        <f>Errorlog_table[[#This Row],[Year_Week_Number]]</f>
        <v>202514</v>
      </c>
      <c r="U93" s="307" t="s">
        <v>230</v>
      </c>
      <c r="V93" s="284" t="s">
        <v>230</v>
      </c>
      <c r="W93" s="285" t="str">
        <f>Errorlog_table[[#This Row],[System]]</f>
        <v>CR51</v>
      </c>
      <c r="X93" s="366" t="str">
        <f>Errorlog_table[[#This Row],[link]]</f>
        <v>P872290</v>
      </c>
      <c r="Y93" s="277" t="str">
        <f>Errorlog_table[[#This Row],[Root_Error]]</f>
        <v>WP-2C1D</v>
      </c>
      <c r="Z93" s="277" t="str">
        <f>Errorlog_table[[#This Row],[Description]]</f>
        <v>EpmID:115267| SCN - Lot abort for WS MMDC+Daily MX Actions+BMMO/ABF | WP-2C1D |</v>
      </c>
      <c r="AA93" s="277" t="str">
        <f t="shared" si="3"/>
        <v>XLD</v>
      </c>
      <c r="AB93" s="278">
        <f ca="1">_xlfn.ISOWEEKNUM(Errorlog_table[[#This Row],[Date]])+52*(Errorlog_table[[#This Row],[Year]]-YEAR(DATE(YEAR(TODAY()-WEEKDAY(TODAY()-1)+4),1,1)-MOD((DATE(YEAR(TODAY()-WEEKDAY(TODAY()-1)+4),1,1)-2),7)+(7*IF(MOD((DATE(YEAR(TODAY()-WEEKDAY(TODAY()-1)+4),1,1)-2),7)&gt;3,1,0))+7) )-_xlfn.ISOWEEKNUM(NOW())</f>
        <v>-23</v>
      </c>
      <c r="AC93" s="277">
        <f>COUNTIF(MTBF_pareto[AIR],Errorlog_table[[#This Row],[AIR]])</f>
        <v>0</v>
      </c>
      <c r="AD93" s="306" t="str">
        <f>TEXT(Errorlog_table[[#This Row],[Date]],"yyyy-mm-dd")&amp;"_"&amp;TEXT(Errorlog_table[[#This Row],[SDT_Timestamp]],"HH:MM:SS")&amp;"_"&amp;Errorlog_table[[#This Row],[System]]</f>
        <v>2025-03-31_21:59:00_CR51</v>
      </c>
      <c r="AE93" s="287" t="str">
        <f>Errorlog_table[[#This Row],[P_Hits]]</f>
        <v>Y</v>
      </c>
      <c r="AF93" s="287">
        <v>0</v>
      </c>
    </row>
    <row r="94" spans="1:32" ht="28.5">
      <c r="A94" s="314" t="s">
        <v>7</v>
      </c>
      <c r="B94" s="277" t="str">
        <f>VLOOKUP(A94,'5000_Fleet'!A:D,2,FALSE)</f>
        <v>Intel</v>
      </c>
      <c r="C94" s="314" t="s">
        <v>531</v>
      </c>
      <c r="D94" s="314">
        <f>YEAR(DATE(YEAR(Errorlog_table[[#This Row],[Date]]-WEEKDAY(Errorlog_table[[#This Row],[Date]]-1)+4),1,1)-MOD((DATE(YEAR(Errorlog_table[[#This Row],[Date]]-WEEKDAY(Errorlog_table[[#This Row],[Date]]-1)+4),1,1)-2),7)+(7*IF(MOD((DATE(YEAR(Errorlog_table[[#This Row],[Date]]-WEEKDAY(Errorlog_table[[#This Row],[Date]]-1)+4),1,1)-2),7)&gt;3,1,0))+7)</f>
        <v>2025</v>
      </c>
      <c r="E94" s="278">
        <f>VALUE(TEXT(_xlfn.ISOWEEKNUM(Errorlog_table[[#This Row],[Date]]),"00"))</f>
        <v>14</v>
      </c>
      <c r="F94" s="410">
        <f>VALUE((Errorlog_table[[#This Row],[Year]])&amp;TEXT(Errorlog_table[[#This Row],[Week_Number]],"00"))</f>
        <v>202514</v>
      </c>
      <c r="G94" s="406">
        <v>45747</v>
      </c>
      <c r="H94" s="403" t="s">
        <v>532</v>
      </c>
      <c r="I94" s="314" t="s">
        <v>533</v>
      </c>
      <c r="J94" s="401" t="str">
        <f>IF(LEN(VALUE(MID(Errorlog_table[[#This Row],[Description]],FIND(":",Errorlog_table[[#This Row],[Description]])+1,6)))&gt;1,MID(Errorlog_table[[#This Row],[Description]],FIND(":",Errorlog_table[[#This Row],[Description]])+1,6),"")</f>
        <v>115277</v>
      </c>
      <c r="K94" s="314">
        <v>0.8</v>
      </c>
      <c r="L94" s="314" t="s">
        <v>524</v>
      </c>
      <c r="M94" s="287">
        <v>53099631</v>
      </c>
      <c r="N94" s="500" t="s">
        <v>534</v>
      </c>
      <c r="O94" s="281" t="str">
        <f t="shared" si="4"/>
        <v>P872439</v>
      </c>
      <c r="P94" s="277">
        <f>LEN(Errorlog_table[[#This Row],[AIR]])</f>
        <v>7</v>
      </c>
      <c r="Q94" cm="1">
        <f t="array" ref="Q94">IF(OR(Errorlog_table[[#This Row],[AIR]]="n/a",Errorlog_table[[#This Row],[Event_code]]="Y"),"n/a",IF(Errorlog_table[[#This Row],[AIR]]="","no AIR",_xlfn.XLOOKUP(Errorlog_table[[#This Row],[AIR]],AIR_dump[[#All],[Number]],AIR_dump[[#All],[Type]],"not found",0,1)))</f>
        <v>0</v>
      </c>
      <c r="R94" s="282" t="str" cm="1">
        <f t="array" ref="R94">IF(OR(Errorlog_table[[#This Row],[AIR]]="n/a",Errorlog_table[[#This Row],[Event_code]]="Y"),"n/a",IF(Errorlog_table[[#This Row],[AIR]]="","no AIR",_xlfn.XLOOKUP(Errorlog_table[[#This Row],[AIR]],AIR_dump[[#All],[Number]],AIR_dump[[#All],[Summary]],"not found",0,1)))</f>
        <v>SP21 changed wafer reject behavior to a lot abort behavior KU-5113 ==&gt; RR-1110</v>
      </c>
      <c r="S94" s="347" t="str" cm="1">
        <f t="array" ref="S94">_xlfn.XLOOKUP(Errorlog_table[[#This Row],[AIR]],AIR_dump[[#All],[Number]],AIR_dump[[#All],[Close notes]])</f>
        <v>SP23  500K solution in SP22</v>
      </c>
      <c r="T94" s="347">
        <f>Errorlog_table[[#This Row],[Year_Week_Number]]</f>
        <v>202514</v>
      </c>
      <c r="U94" s="307" t="s">
        <v>230</v>
      </c>
      <c r="V94" s="284" t="s">
        <v>230</v>
      </c>
      <c r="W94" s="285" t="str">
        <f>Errorlog_table[[#This Row],[System]]</f>
        <v>GY86</v>
      </c>
      <c r="X94" s="366" t="str">
        <f>Errorlog_table[[#This Row],[link]]</f>
        <v>P872439</v>
      </c>
      <c r="Y94" s="277" t="str">
        <f>Errorlog_table[[#This Row],[Root_Error]]</f>
        <v>KU-5113</v>
      </c>
      <c r="Z94" s="277" t="str">
        <f>Errorlog_table[[#This Row],[Description]]</f>
        <v>EpmID:115277| SCN - Lot abort for KU-5113 error | KU-5113 |</v>
      </c>
      <c r="AA94" s="277" t="str">
        <f t="shared" ref="AA94:AA125" si="5">IF(K94&gt;=12,"XLD","Short down")</f>
        <v>Short down</v>
      </c>
      <c r="AB94" s="278">
        <f ca="1">_xlfn.ISOWEEKNUM(Errorlog_table[[#This Row],[Date]])+52*(Errorlog_table[[#This Row],[Year]]-YEAR(DATE(YEAR(TODAY()-WEEKDAY(TODAY()-1)+4),1,1)-MOD((DATE(YEAR(TODAY()-WEEKDAY(TODAY()-1)+4),1,1)-2),7)+(7*IF(MOD((DATE(YEAR(TODAY()-WEEKDAY(TODAY()-1)+4),1,1)-2),7)&gt;3,1,0))+7) )-_xlfn.ISOWEEKNUM(NOW())</f>
        <v>-23</v>
      </c>
      <c r="AC94" s="277">
        <f>COUNTIF(MTBF_pareto[AIR],Errorlog_table[[#This Row],[AIR]])</f>
        <v>0</v>
      </c>
      <c r="AD94" s="306" t="str">
        <f>TEXT(Errorlog_table[[#This Row],[Date]],"yyyy-mm-dd")&amp;"_"&amp;TEXT(Errorlog_table[[#This Row],[SDT_Timestamp]],"HH:MM:SS")&amp;"_"&amp;Errorlog_table[[#This Row],[System]]</f>
        <v>2025-03-31_16:23:00_GY86</v>
      </c>
      <c r="AE94" s="287" t="str">
        <f>Errorlog_table[[#This Row],[P_Hits]]</f>
        <v>Y</v>
      </c>
      <c r="AF94" s="287">
        <v>0</v>
      </c>
    </row>
    <row r="95" spans="1:32" ht="28.5">
      <c r="A95" s="314" t="s">
        <v>7</v>
      </c>
      <c r="B95" s="277" t="str">
        <f>VLOOKUP(A95,'5000_Fleet'!A:D,2,FALSE)</f>
        <v>Intel</v>
      </c>
      <c r="C95" s="314" t="s">
        <v>531</v>
      </c>
      <c r="D95" s="314">
        <f>YEAR(DATE(YEAR(Errorlog_table[[#This Row],[Date]]-WEEKDAY(Errorlog_table[[#This Row],[Date]]-1)+4),1,1)-MOD((DATE(YEAR(Errorlog_table[[#This Row],[Date]]-WEEKDAY(Errorlog_table[[#This Row],[Date]]-1)+4),1,1)-2),7)+(7*IF(MOD((DATE(YEAR(Errorlog_table[[#This Row],[Date]]-WEEKDAY(Errorlog_table[[#This Row],[Date]]-1)+4),1,1)-2),7)&gt;3,1,0))+7)</f>
        <v>2025</v>
      </c>
      <c r="E95" s="278">
        <f>VALUE(TEXT(_xlfn.ISOWEEKNUM(Errorlog_table[[#This Row],[Date]]),"00"))</f>
        <v>14</v>
      </c>
      <c r="F95" s="410">
        <f>VALUE((Errorlog_table[[#This Row],[Year]])&amp;TEXT(Errorlog_table[[#This Row],[Week_Number]],"00"))</f>
        <v>202514</v>
      </c>
      <c r="G95" s="406">
        <v>45747</v>
      </c>
      <c r="H95" s="403" t="s">
        <v>535</v>
      </c>
      <c r="I95" s="314" t="s">
        <v>536</v>
      </c>
      <c r="J95" s="401" t="str">
        <f>IF(LEN(VALUE(MID(Errorlog_table[[#This Row],[Description]],FIND(":",Errorlog_table[[#This Row],[Description]])+1,6)))&gt;1,MID(Errorlog_table[[#This Row],[Description]],FIND(":",Errorlog_table[[#This Row],[Description]])+1,6),"")</f>
        <v>115283</v>
      </c>
      <c r="K95" s="314">
        <v>4.1333330000000004</v>
      </c>
      <c r="L95" s="314" t="s">
        <v>524</v>
      </c>
      <c r="M95" s="277">
        <v>53099631</v>
      </c>
      <c r="N95" s="500" t="s">
        <v>534</v>
      </c>
      <c r="O95" s="281" t="str">
        <f t="shared" si="4"/>
        <v>P872439</v>
      </c>
      <c r="P95" s="277">
        <f>LEN(Errorlog_table[[#This Row],[AIR]])</f>
        <v>7</v>
      </c>
      <c r="Q95" cm="1">
        <f t="array" ref="Q95">IF(OR(Errorlog_table[[#This Row],[AIR]]="n/a",Errorlog_table[[#This Row],[Event_code]]="Y"),"n/a",IF(Errorlog_table[[#This Row],[AIR]]="","no AIR",_xlfn.XLOOKUP(Errorlog_table[[#This Row],[AIR]],AIR_dump[[#All],[Number]],AIR_dump[[#All],[Type]],"not found",0,1)))</f>
        <v>0</v>
      </c>
      <c r="R95" s="282" t="str" cm="1">
        <f t="array" ref="R95">IF(OR(Errorlog_table[[#This Row],[AIR]]="n/a",Errorlog_table[[#This Row],[Event_code]]="Y"),"n/a",IF(Errorlog_table[[#This Row],[AIR]]="","no AIR",_xlfn.XLOOKUP(Errorlog_table[[#This Row],[AIR]],AIR_dump[[#All],[Number]],AIR_dump[[#All],[Summary]],"not found",0,1)))</f>
        <v>SP21 changed wafer reject behavior to a lot abort behavior KU-5113 ==&gt; RR-1110</v>
      </c>
      <c r="S95" s="347" t="str" cm="1">
        <f t="array" ref="S95">_xlfn.XLOOKUP(Errorlog_table[[#This Row],[AIR]],AIR_dump[[#All],[Number]],AIR_dump[[#All],[Close notes]])</f>
        <v>SP23  500K solution in SP22</v>
      </c>
      <c r="T95" s="347">
        <f>Errorlog_table[[#This Row],[Year_Week_Number]]</f>
        <v>202514</v>
      </c>
      <c r="U95" s="307" t="s">
        <v>230</v>
      </c>
      <c r="V95" s="284" t="s">
        <v>230</v>
      </c>
      <c r="W95" s="285" t="str">
        <f>Errorlog_table[[#This Row],[System]]</f>
        <v>GY86</v>
      </c>
      <c r="X95" s="366" t="str">
        <f>Errorlog_table[[#This Row],[link]]</f>
        <v>P872439</v>
      </c>
      <c r="Y95" s="277" t="str">
        <f>Errorlog_table[[#This Row],[Root_Error]]</f>
        <v>KU-5113</v>
      </c>
      <c r="Z95" s="277" t="str">
        <f>Errorlog_table[[#This Row],[Description]]</f>
        <v>EpmID:115283| SCN - Lot abort for KU-5113 error | KU-5113 |</v>
      </c>
      <c r="AA95" s="277" t="str">
        <f t="shared" si="5"/>
        <v>Short down</v>
      </c>
      <c r="AB95" s="278">
        <f ca="1">_xlfn.ISOWEEKNUM(Errorlog_table[[#This Row],[Date]])+52*(Errorlog_table[[#This Row],[Year]]-YEAR(DATE(YEAR(TODAY()-WEEKDAY(TODAY()-1)+4),1,1)-MOD((DATE(YEAR(TODAY()-WEEKDAY(TODAY()-1)+4),1,1)-2),7)+(7*IF(MOD((DATE(YEAR(TODAY()-WEEKDAY(TODAY()-1)+4),1,1)-2),7)&gt;3,1,0))+7) )-_xlfn.ISOWEEKNUM(NOW())</f>
        <v>-23</v>
      </c>
      <c r="AC95" s="277">
        <f>COUNTIF(MTBF_pareto[AIR],Errorlog_table[[#This Row],[AIR]])</f>
        <v>0</v>
      </c>
      <c r="AD95" s="306" t="str">
        <f>TEXT(Errorlog_table[[#This Row],[Date]],"yyyy-mm-dd")&amp;"_"&amp;TEXT(Errorlog_table[[#This Row],[SDT_Timestamp]],"HH:MM:SS")&amp;"_"&amp;Errorlog_table[[#This Row],[System]]</f>
        <v>2025-03-31_09:43:00_GY86</v>
      </c>
      <c r="AE95" s="287" t="str">
        <f>Errorlog_table[[#This Row],[P_Hits]]</f>
        <v>Y</v>
      </c>
      <c r="AF95" s="287">
        <v>0</v>
      </c>
    </row>
    <row r="96" spans="1:32" ht="15">
      <c r="A96" s="314" t="s">
        <v>4</v>
      </c>
      <c r="B96" s="277" t="str">
        <f>VLOOKUP(A96,'5000_Fleet'!A:D,2,FALSE)</f>
        <v>Intel</v>
      </c>
      <c r="C96" s="314" t="s">
        <v>441</v>
      </c>
      <c r="D96" s="314">
        <f>YEAR(DATE(YEAR(Errorlog_table[[#This Row],[Date]]-WEEKDAY(Errorlog_table[[#This Row],[Date]]-1)+4),1,1)-MOD((DATE(YEAR(Errorlog_table[[#This Row],[Date]]-WEEKDAY(Errorlog_table[[#This Row],[Date]]-1)+4),1,1)-2),7)+(7*IF(MOD((DATE(YEAR(Errorlog_table[[#This Row],[Date]]-WEEKDAY(Errorlog_table[[#This Row],[Date]]-1)+4),1,1)-2),7)&gt;3,1,0))+7)</f>
        <v>2025</v>
      </c>
      <c r="E96" s="278">
        <f>VALUE(TEXT(_xlfn.ISOWEEKNUM(Errorlog_table[[#This Row],[Date]]),"00"))</f>
        <v>14</v>
      </c>
      <c r="F96" s="410">
        <f>VALUE((Errorlog_table[[#This Row],[Year]])&amp;TEXT(Errorlog_table[[#This Row],[Week_Number]],"00"))</f>
        <v>202514</v>
      </c>
      <c r="G96" s="406">
        <v>45748</v>
      </c>
      <c r="H96" s="403" t="s">
        <v>513</v>
      </c>
      <c r="I96" s="314" t="s">
        <v>514</v>
      </c>
      <c r="J96" s="401" t="str">
        <f>IF(LEN(VALUE(MID(Errorlog_table[[#This Row],[Description]],FIND(":",Errorlog_table[[#This Row],[Description]])+1,6)))&gt;1,MID(Errorlog_table[[#This Row],[Description]],FIND(":",Errorlog_table[[#This Row],[Description]])+1,6),"")</f>
        <v>115718</v>
      </c>
      <c r="K96" s="314">
        <v>20.016667000000002</v>
      </c>
      <c r="L96" s="314"/>
      <c r="M96" s="277">
        <v>53100110</v>
      </c>
      <c r="N96" s="293" t="s">
        <v>444</v>
      </c>
      <c r="O96" s="281" t="str">
        <f t="shared" si="4"/>
        <v>P860660</v>
      </c>
      <c r="P96" s="277">
        <f>LEN(Errorlog_table[[#This Row],[AIR]])</f>
        <v>7</v>
      </c>
      <c r="Q96" cm="1">
        <f t="array" ref="Q96">IF(OR(Errorlog_table[[#This Row],[AIR]]="n/a",Errorlog_table[[#This Row],[Event_code]]="Y"),"n/a",IF(Errorlog_table[[#This Row],[AIR]]="","no AIR",_xlfn.XLOOKUP(Errorlog_table[[#This Row],[AIR]],AIR_dump[[#All],[Number]],AIR_dump[[#All],[Type]],"not found",0,1)))</f>
        <v>0</v>
      </c>
      <c r="R96" s="282" t="str" cm="1">
        <f t="array" ref="R96">IF(OR(Errorlog_table[[#This Row],[AIR]]="n/a",Errorlog_table[[#This Row],[Event_code]]="Y"),"n/a",IF(Errorlog_table[[#This Row],[AIR]]="","no AIR",_xlfn.XLOOKUP(Errorlog_table[[#This Row],[AIR]],AIR_dump[[#All],[Number]],AIR_dump[[#All],[Summary]],"not found",0,1)))</f>
        <v xml:space="preserve"> [CR51] Lot abort unload fail RU-1B22 after ARR</v>
      </c>
      <c r="S96" s="347" t="str" cm="1">
        <f t="array" ref="S96">_xlfn.XLOOKUP(Errorlog_table[[#This Row],[AIR]],AIR_dump[[#All],[Number]],AIR_dump[[#All],[Close notes]])</f>
        <v>Planned patch W19 to mitigate clamp charge</v>
      </c>
      <c r="T96" s="347">
        <f>Errorlog_table[[#This Row],[Year_Week_Number]]</f>
        <v>202514</v>
      </c>
      <c r="U96" s="307" t="s">
        <v>230</v>
      </c>
      <c r="V96" s="284" t="s">
        <v>230</v>
      </c>
      <c r="W96" s="285" t="str">
        <f>Errorlog_table[[#This Row],[System]]</f>
        <v>CR51</v>
      </c>
      <c r="X96" s="366" t="str">
        <f>Errorlog_table[[#This Row],[link]]</f>
        <v>P860660</v>
      </c>
      <c r="Y96" s="277" t="str">
        <f>Errorlog_table[[#This Row],[Root_Error]]</f>
        <v>RU-1B22</v>
      </c>
      <c r="Z96" s="277" t="str">
        <f>Errorlog_table[[#This Row],[Description]]</f>
        <v>EpmID:115718| SCN - Lot abort for RH error | RU-1B22 |</v>
      </c>
      <c r="AA96" s="277" t="str">
        <f t="shared" si="5"/>
        <v>XLD</v>
      </c>
      <c r="AB96" s="278">
        <f ca="1">_xlfn.ISOWEEKNUM(Errorlog_table[[#This Row],[Date]])+52*(Errorlog_table[[#This Row],[Year]]-YEAR(DATE(YEAR(TODAY()-WEEKDAY(TODAY()-1)+4),1,1)-MOD((DATE(YEAR(TODAY()-WEEKDAY(TODAY()-1)+4),1,1)-2),7)+(7*IF(MOD((DATE(YEAR(TODAY()-WEEKDAY(TODAY()-1)+4),1,1)-2),7)&gt;3,1,0))+7) )-_xlfn.ISOWEEKNUM(NOW())</f>
        <v>-23</v>
      </c>
      <c r="AC96" s="277">
        <f>COUNTIF(MTBF_pareto[AIR],Errorlog_table[[#This Row],[AIR]])</f>
        <v>0</v>
      </c>
      <c r="AD96" s="306" t="str">
        <f>TEXT(Errorlog_table[[#This Row],[Date]],"yyyy-mm-dd")&amp;"_"&amp;TEXT(Errorlog_table[[#This Row],[SDT_Timestamp]],"HH:MM:SS")&amp;"_"&amp;Errorlog_table[[#This Row],[System]]</f>
        <v>2025-04-01_18:30:00_CR51</v>
      </c>
      <c r="AE96" s="287" t="str">
        <f>Errorlog_table[[#This Row],[P_Hits]]</f>
        <v>Y</v>
      </c>
      <c r="AF96" s="287">
        <v>0</v>
      </c>
    </row>
    <row r="97" spans="1:32" ht="28.5">
      <c r="A97" s="314" t="s">
        <v>4</v>
      </c>
      <c r="B97" s="277" t="str">
        <f>VLOOKUP(A97,'5000_Fleet'!A:D,2,FALSE)</f>
        <v>Intel</v>
      </c>
      <c r="C97" s="314" t="s">
        <v>342</v>
      </c>
      <c r="D97" s="314">
        <f>YEAR(DATE(YEAR(Errorlog_table[[#This Row],[Date]]-WEEKDAY(Errorlog_table[[#This Row],[Date]]-1)+4),1,1)-MOD((DATE(YEAR(Errorlog_table[[#This Row],[Date]]-WEEKDAY(Errorlog_table[[#This Row],[Date]]-1)+4),1,1)-2),7)+(7*IF(MOD((DATE(YEAR(Errorlog_table[[#This Row],[Date]]-WEEKDAY(Errorlog_table[[#This Row],[Date]]-1)+4),1,1)-2),7)&gt;3,1,0))+7)</f>
        <v>2025</v>
      </c>
      <c r="E97" s="278">
        <f>VALUE(TEXT(_xlfn.ISOWEEKNUM(Errorlog_table[[#This Row],[Date]]),"00"))</f>
        <v>14</v>
      </c>
      <c r="F97" s="410">
        <f>VALUE((Errorlog_table[[#This Row],[Year]])&amp;TEXT(Errorlog_table[[#This Row],[Week_Number]],"00"))</f>
        <v>202514</v>
      </c>
      <c r="G97" s="406">
        <v>45751</v>
      </c>
      <c r="H97" s="403" t="s">
        <v>522</v>
      </c>
      <c r="I97" s="314" t="s">
        <v>523</v>
      </c>
      <c r="J97" s="401" t="str">
        <f>IF(LEN(VALUE(MID(Errorlog_table[[#This Row],[Description]],FIND(":",Errorlog_table[[#This Row],[Description]])+1,6)))&gt;1,MID(Errorlog_table[[#This Row],[Description]],FIND(":",Errorlog_table[[#This Row],[Description]])+1,6),"")</f>
        <v>116029</v>
      </c>
      <c r="K97" s="314">
        <v>2.8833329999999999</v>
      </c>
      <c r="L97" s="314" t="s">
        <v>524</v>
      </c>
      <c r="M97" s="287">
        <v>53104194</v>
      </c>
      <c r="N97" s="499" t="s">
        <v>525</v>
      </c>
      <c r="O97" s="281" t="str">
        <f t="shared" si="4"/>
        <v>P860104</v>
      </c>
      <c r="P97" s="277">
        <f>LEN(Errorlog_table[[#This Row],[AIR]])</f>
        <v>7</v>
      </c>
      <c r="Q97" cm="1">
        <f t="array" ref="Q97">IF(OR(Errorlog_table[[#This Row],[AIR]]="n/a",Errorlog_table[[#This Row],[Event_code]]="Y"),"n/a",IF(Errorlog_table[[#This Row],[AIR]]="","no AIR",_xlfn.XLOOKUP(Errorlog_table[[#This Row],[AIR]],AIR_dump[[#All],[Number]],AIR_dump[[#All],[Type]],"not found",0,1)))</f>
        <v>0</v>
      </c>
      <c r="R97" s="282" t="str" cm="1">
        <f t="array" ref="R97">IF(OR(Errorlog_table[[#This Row],[AIR]]="n/a",Errorlog_table[[#This Row],[Event_code]]="Y"),"n/a",IF(Errorlog_table[[#This Row],[AIR]]="","no AIR",_xlfn.XLOOKUP(Errorlog_table[[#This Row],[AIR]],AIR_dump[[#All],[Number]],AIR_dump[[#All],[Summary]],"not found",0,1)))</f>
        <v>[exe5000] KN-0605 scan predictor error causing lot aborts: KXTRMI improvement</v>
      </c>
      <c r="S97" s="347" t="str" cm="1">
        <f t="array" ref="S97">_xlfn.XLOOKUP(Errorlog_table[[#This Row],[AIR]],AIR_dump[[#All],[Number]],AIR_dump[[#All],[Close notes]])</f>
        <v>Solution in SP22</v>
      </c>
      <c r="T97" s="347">
        <f>Errorlog_table[[#This Row],[Year_Week_Number]]</f>
        <v>202514</v>
      </c>
      <c r="U97" s="307" t="s">
        <v>230</v>
      </c>
      <c r="V97" s="284" t="s">
        <v>230</v>
      </c>
      <c r="W97" s="285" t="str">
        <f>Errorlog_table[[#This Row],[System]]</f>
        <v>CR51</v>
      </c>
      <c r="X97" s="366" t="str">
        <f>Errorlog_table[[#This Row],[link]]</f>
        <v>P860104</v>
      </c>
      <c r="Y97" s="277" t="str">
        <f>Errorlog_table[[#This Row],[Root_Error]]</f>
        <v>KN-0605</v>
      </c>
      <c r="Z97" s="277" t="str">
        <f>Errorlog_table[[#This Row],[Description]]</f>
        <v>EpmID:116029| SCN - Lot abort KN-0605 | KN-0605 |</v>
      </c>
      <c r="AA97" s="277" t="str">
        <f t="shared" si="5"/>
        <v>Short down</v>
      </c>
      <c r="AB97" s="278">
        <f ca="1">_xlfn.ISOWEEKNUM(Errorlog_table[[#This Row],[Date]])+52*(Errorlog_table[[#This Row],[Year]]-YEAR(DATE(YEAR(TODAY()-WEEKDAY(TODAY()-1)+4),1,1)-MOD((DATE(YEAR(TODAY()-WEEKDAY(TODAY()-1)+4),1,1)-2),7)+(7*IF(MOD((DATE(YEAR(TODAY()-WEEKDAY(TODAY()-1)+4),1,1)-2),7)&gt;3,1,0))+7) )-_xlfn.ISOWEEKNUM(NOW())</f>
        <v>-23</v>
      </c>
      <c r="AC97" s="277">
        <f>COUNTIF(MTBF_pareto[AIR],Errorlog_table[[#This Row],[AIR]])</f>
        <v>0</v>
      </c>
      <c r="AD97" s="306" t="str">
        <f>TEXT(Errorlog_table[[#This Row],[Date]],"yyyy-mm-dd")&amp;"_"&amp;TEXT(Errorlog_table[[#This Row],[SDT_Timestamp]],"HH:MM:SS")&amp;"_"&amp;Errorlog_table[[#This Row],[System]]</f>
        <v>2025-04-04_22:03:00_CR51</v>
      </c>
      <c r="AE97" s="287" t="str">
        <f>Errorlog_table[[#This Row],[P_Hits]]</f>
        <v>Y</v>
      </c>
      <c r="AF97" s="287">
        <v>0</v>
      </c>
    </row>
    <row r="98" spans="1:32" ht="28.5">
      <c r="A98" s="314" t="s">
        <v>7</v>
      </c>
      <c r="B98" s="277" t="str">
        <f>VLOOKUP(A98,'5000_Fleet'!A:D,2,FALSE)</f>
        <v>Intel</v>
      </c>
      <c r="C98" s="314" t="s">
        <v>531</v>
      </c>
      <c r="D98" s="314">
        <f>YEAR(DATE(YEAR(Errorlog_table[[#This Row],[Date]]-WEEKDAY(Errorlog_table[[#This Row],[Date]]-1)+4),1,1)-MOD((DATE(YEAR(Errorlog_table[[#This Row],[Date]]-WEEKDAY(Errorlog_table[[#This Row],[Date]]-1)+4),1,1)-2),7)+(7*IF(MOD((DATE(YEAR(Errorlog_table[[#This Row],[Date]]-WEEKDAY(Errorlog_table[[#This Row],[Date]]-1)+4),1,1)-2),7)&gt;3,1,0))+7)</f>
        <v>2025</v>
      </c>
      <c r="E98" s="278">
        <f>VALUE(TEXT(_xlfn.ISOWEEKNUM(Errorlog_table[[#This Row],[Date]]),"00"))</f>
        <v>14</v>
      </c>
      <c r="F98" s="410">
        <f>VALUE((Errorlog_table[[#This Row],[Year]])&amp;TEXT(Errorlog_table[[#This Row],[Week_Number]],"00"))</f>
        <v>202514</v>
      </c>
      <c r="G98" s="406">
        <v>45751</v>
      </c>
      <c r="H98" s="403" t="s">
        <v>537</v>
      </c>
      <c r="I98" s="314" t="s">
        <v>538</v>
      </c>
      <c r="J98" s="401" t="str">
        <f>IF(LEN(VALUE(MID(Errorlog_table[[#This Row],[Description]],FIND(":",Errorlog_table[[#This Row],[Description]])+1,6)))&gt;1,MID(Errorlog_table[[#This Row],[Description]],FIND(":",Errorlog_table[[#This Row],[Description]])+1,6),"")</f>
        <v>116068</v>
      </c>
      <c r="K98" s="314">
        <v>0.58333299999999999</v>
      </c>
      <c r="L98" s="314" t="s">
        <v>524</v>
      </c>
      <c r="M98" s="287">
        <v>53104021</v>
      </c>
      <c r="N98" s="289" t="s">
        <v>534</v>
      </c>
      <c r="O98" s="281" t="str">
        <f t="shared" ref="O98:O129" si="6">IF(N98="",HYPERLINK("https://air.asml.com/textsearch.do?sysparm_search="&amp;M98,M98),HYPERLINK("https://air.asml.com/u_qm_issues.do?sysparm_query=number="&amp;N98,N98))</f>
        <v>P872439</v>
      </c>
      <c r="P98" s="277">
        <f>LEN(Errorlog_table[[#This Row],[AIR]])</f>
        <v>7</v>
      </c>
      <c r="Q98" cm="1">
        <f t="array" ref="Q98">IF(OR(Errorlog_table[[#This Row],[AIR]]="n/a",Errorlog_table[[#This Row],[Event_code]]="Y"),"n/a",IF(Errorlog_table[[#This Row],[AIR]]="","no AIR",_xlfn.XLOOKUP(Errorlog_table[[#This Row],[AIR]],AIR_dump[[#All],[Number]],AIR_dump[[#All],[Type]],"not found",0,1)))</f>
        <v>0</v>
      </c>
      <c r="R98" s="282" t="str" cm="1">
        <f t="array" ref="R98">IF(OR(Errorlog_table[[#This Row],[AIR]]="n/a",Errorlog_table[[#This Row],[Event_code]]="Y"),"n/a",IF(Errorlog_table[[#This Row],[AIR]]="","no AIR",_xlfn.XLOOKUP(Errorlog_table[[#This Row],[AIR]],AIR_dump[[#All],[Number]],AIR_dump[[#All],[Summary]],"not found",0,1)))</f>
        <v>SP21 changed wafer reject behavior to a lot abort behavior KU-5113 ==&gt; RR-1110</v>
      </c>
      <c r="S98" s="347" t="str" cm="1">
        <f t="array" ref="S98">_xlfn.XLOOKUP(Errorlog_table[[#This Row],[AIR]],AIR_dump[[#All],[Number]],AIR_dump[[#All],[Close notes]])</f>
        <v>SP23  500K solution in SP22</v>
      </c>
      <c r="T98" s="347">
        <f>Errorlog_table[[#This Row],[Year_Week_Number]]</f>
        <v>202514</v>
      </c>
      <c r="U98" s="307" t="s">
        <v>230</v>
      </c>
      <c r="V98" s="284" t="s">
        <v>230</v>
      </c>
      <c r="W98" s="285" t="str">
        <f>Errorlog_table[[#This Row],[System]]</f>
        <v>GY86</v>
      </c>
      <c r="X98" s="366" t="str">
        <f>Errorlog_table[[#This Row],[link]]</f>
        <v>P872439</v>
      </c>
      <c r="Y98" s="277" t="str">
        <f>Errorlog_table[[#This Row],[Root_Error]]</f>
        <v>KU-5113</v>
      </c>
      <c r="Z98" s="277" t="str">
        <f>Errorlog_table[[#This Row],[Description]]</f>
        <v>EpmID:116068| SCN - lot aborted for KU-5113 error | KU-5113 |</v>
      </c>
      <c r="AA98" s="277" t="str">
        <f t="shared" si="5"/>
        <v>Short down</v>
      </c>
      <c r="AB98" s="278">
        <f ca="1">_xlfn.ISOWEEKNUM(Errorlog_table[[#This Row],[Date]])+52*(Errorlog_table[[#This Row],[Year]]-YEAR(DATE(YEAR(TODAY()-WEEKDAY(TODAY()-1)+4),1,1)-MOD((DATE(YEAR(TODAY()-WEEKDAY(TODAY()-1)+4),1,1)-2),7)+(7*IF(MOD((DATE(YEAR(TODAY()-WEEKDAY(TODAY()-1)+4),1,1)-2),7)&gt;3,1,0))+7) )-_xlfn.ISOWEEKNUM(NOW())</f>
        <v>-23</v>
      </c>
      <c r="AC98" s="277">
        <f>COUNTIF(MTBF_pareto[AIR],Errorlog_table[[#This Row],[AIR]])</f>
        <v>0</v>
      </c>
      <c r="AD98" s="306" t="str">
        <f>TEXT(Errorlog_table[[#This Row],[Date]],"yyyy-mm-dd")&amp;"_"&amp;TEXT(Errorlog_table[[#This Row],[SDT_Timestamp]],"HH:MM:SS")&amp;"_"&amp;Errorlog_table[[#This Row],[System]]</f>
        <v>2025-04-04_09:37:00_GY86</v>
      </c>
      <c r="AE98" s="287" t="str">
        <f>Errorlog_table[[#This Row],[P_Hits]]</f>
        <v>Y</v>
      </c>
      <c r="AF98" s="287">
        <v>0</v>
      </c>
    </row>
    <row r="99" spans="1:32" ht="15">
      <c r="A99" s="314" t="s">
        <v>4</v>
      </c>
      <c r="B99" s="277" t="str">
        <f>VLOOKUP(A99,'5000_Fleet'!A:D,2,FALSE)</f>
        <v>Intel</v>
      </c>
      <c r="C99" s="314" t="s">
        <v>441</v>
      </c>
      <c r="D99" s="314">
        <f>YEAR(DATE(YEAR(Errorlog_table[[#This Row],[Date]]-WEEKDAY(Errorlog_table[[#This Row],[Date]]-1)+4),1,1)-MOD((DATE(YEAR(Errorlog_table[[#This Row],[Date]]-WEEKDAY(Errorlog_table[[#This Row],[Date]]-1)+4),1,1)-2),7)+(7*IF(MOD((DATE(YEAR(Errorlog_table[[#This Row],[Date]]-WEEKDAY(Errorlog_table[[#This Row],[Date]]-1)+4),1,1)-2),7)&gt;3,1,0))+7)</f>
        <v>2025</v>
      </c>
      <c r="E99" s="278">
        <f>VALUE(TEXT(_xlfn.ISOWEEKNUM(Errorlog_table[[#This Row],[Date]]),"00"))</f>
        <v>14</v>
      </c>
      <c r="F99" s="410">
        <f>VALUE((Errorlog_table[[#This Row],[Year]])&amp;TEXT(Errorlog_table[[#This Row],[Week_Number]],"00"))</f>
        <v>202514</v>
      </c>
      <c r="G99" s="406">
        <v>45752</v>
      </c>
      <c r="H99" s="403" t="s">
        <v>515</v>
      </c>
      <c r="I99" s="314" t="s">
        <v>516</v>
      </c>
      <c r="J99" s="401" t="str">
        <f>IF(LEN(VALUE(MID(Errorlog_table[[#This Row],[Description]],FIND(":",Errorlog_table[[#This Row],[Description]])+1,6)))&gt;1,MID(Errorlog_table[[#This Row],[Description]],FIND(":",Errorlog_table[[#This Row],[Description]])+1,6),"")</f>
        <v>116052</v>
      </c>
      <c r="K99" s="314">
        <v>5.733333</v>
      </c>
      <c r="L99" s="314"/>
      <c r="M99" s="287">
        <v>53104401</v>
      </c>
      <c r="N99" s="287" t="s">
        <v>444</v>
      </c>
      <c r="O99" s="281" t="str">
        <f t="shared" si="6"/>
        <v>P860660</v>
      </c>
      <c r="P99" s="277">
        <f>LEN(Errorlog_table[[#This Row],[AIR]])</f>
        <v>7</v>
      </c>
      <c r="Q99" cm="1">
        <f t="array" ref="Q99">IF(OR(Errorlog_table[[#This Row],[AIR]]="n/a",Errorlog_table[[#This Row],[Event_code]]="Y"),"n/a",IF(Errorlog_table[[#This Row],[AIR]]="","no AIR",_xlfn.XLOOKUP(Errorlog_table[[#This Row],[AIR]],AIR_dump[[#All],[Number]],AIR_dump[[#All],[Type]],"not found",0,1)))</f>
        <v>0</v>
      </c>
      <c r="R99" s="282" t="str" cm="1">
        <f t="array" ref="R99">IF(OR(Errorlog_table[[#This Row],[AIR]]="n/a",Errorlog_table[[#This Row],[Event_code]]="Y"),"n/a",IF(Errorlog_table[[#This Row],[AIR]]="","no AIR",_xlfn.XLOOKUP(Errorlog_table[[#This Row],[AIR]],AIR_dump[[#All],[Number]],AIR_dump[[#All],[Summary]],"not found",0,1)))</f>
        <v xml:space="preserve"> [CR51] Lot abort unload fail RU-1B22 after ARR</v>
      </c>
      <c r="S99" s="347" t="str" cm="1">
        <f t="array" ref="S99">_xlfn.XLOOKUP(Errorlog_table[[#This Row],[AIR]],AIR_dump[[#All],[Number]],AIR_dump[[#All],[Close notes]])</f>
        <v>Planned patch W19 to mitigate clamp charge</v>
      </c>
      <c r="T99" s="347">
        <f>Errorlog_table[[#This Row],[Year_Week_Number]]</f>
        <v>202514</v>
      </c>
      <c r="U99" s="307" t="s">
        <v>230</v>
      </c>
      <c r="V99" s="284" t="s">
        <v>230</v>
      </c>
      <c r="W99" s="285" t="str">
        <f>Errorlog_table[[#This Row],[System]]</f>
        <v>CR51</v>
      </c>
      <c r="X99" s="366" t="str">
        <f>Errorlog_table[[#This Row],[link]]</f>
        <v>P860660</v>
      </c>
      <c r="Y99" s="277" t="str">
        <f>Errorlog_table[[#This Row],[Root_Error]]</f>
        <v>RU-1B22</v>
      </c>
      <c r="Z99" s="277" t="str">
        <f>Errorlog_table[[#This Row],[Description]]</f>
        <v>EpmID:116052| SCN - Lot Abort RU-1B22 | RU-1B22 |</v>
      </c>
      <c r="AA99" s="277" t="str">
        <f t="shared" si="5"/>
        <v>Short down</v>
      </c>
      <c r="AB99" s="278">
        <f ca="1">_xlfn.ISOWEEKNUM(Errorlog_table[[#This Row],[Date]])+52*(Errorlog_table[[#This Row],[Year]]-YEAR(DATE(YEAR(TODAY()-WEEKDAY(TODAY()-1)+4),1,1)-MOD((DATE(YEAR(TODAY()-WEEKDAY(TODAY()-1)+4),1,1)-2),7)+(7*IF(MOD((DATE(YEAR(TODAY()-WEEKDAY(TODAY()-1)+4),1,1)-2),7)&gt;3,1,0))+7) )-_xlfn.ISOWEEKNUM(NOW())</f>
        <v>-23</v>
      </c>
      <c r="AC99" s="277">
        <f>COUNTIF(MTBF_pareto[AIR],Errorlog_table[[#This Row],[AIR]])</f>
        <v>0</v>
      </c>
      <c r="AD99" s="306" t="str">
        <f>TEXT(Errorlog_table[[#This Row],[Date]],"yyyy-mm-dd")&amp;"_"&amp;TEXT(Errorlog_table[[#This Row],[SDT_Timestamp]],"HH:MM:SS")&amp;"_"&amp;Errorlog_table[[#This Row],[System]]</f>
        <v>2025-04-05_21:37:00_CR51</v>
      </c>
      <c r="AE99" s="287" t="str">
        <f>Errorlog_table[[#This Row],[P_Hits]]</f>
        <v>Y</v>
      </c>
      <c r="AF99" s="287">
        <v>0</v>
      </c>
    </row>
    <row r="100" spans="1:32" ht="15">
      <c r="A100" s="314" t="s">
        <v>4</v>
      </c>
      <c r="B100" s="277" t="str">
        <f>VLOOKUP(A100,'5000_Fleet'!A:D,2,FALSE)</f>
        <v>Intel</v>
      </c>
      <c r="C100" s="314" t="s">
        <v>441</v>
      </c>
      <c r="D100" s="314">
        <f>YEAR(DATE(YEAR(Errorlog_table[[#This Row],[Date]]-WEEKDAY(Errorlog_table[[#This Row],[Date]]-1)+4),1,1)-MOD((DATE(YEAR(Errorlog_table[[#This Row],[Date]]-WEEKDAY(Errorlog_table[[#This Row],[Date]]-1)+4),1,1)-2),7)+(7*IF(MOD((DATE(YEAR(Errorlog_table[[#This Row],[Date]]-WEEKDAY(Errorlog_table[[#This Row],[Date]]-1)+4),1,1)-2),7)&gt;3,1,0))+7)</f>
        <v>2025</v>
      </c>
      <c r="E100" s="278">
        <f>VALUE(TEXT(_xlfn.ISOWEEKNUM(Errorlog_table[[#This Row],[Date]]),"00"))</f>
        <v>14</v>
      </c>
      <c r="F100" s="410">
        <f>VALUE((Errorlog_table[[#This Row],[Year]])&amp;TEXT(Errorlog_table[[#This Row],[Week_Number]],"00"))</f>
        <v>202514</v>
      </c>
      <c r="G100" s="406">
        <v>45752</v>
      </c>
      <c r="H100" s="403" t="s">
        <v>517</v>
      </c>
      <c r="I100" s="314" t="s">
        <v>518</v>
      </c>
      <c r="J100" s="401" t="str">
        <f>IF(LEN(VALUE(MID(Errorlog_table[[#This Row],[Description]],FIND(":",Errorlog_table[[#This Row],[Description]])+1,6)))&gt;1,MID(Errorlog_table[[#This Row],[Description]],FIND(":",Errorlog_table[[#This Row],[Description]])+1,6),"")</f>
        <v>116054</v>
      </c>
      <c r="K100" s="314">
        <v>3.65</v>
      </c>
      <c r="L100" s="314"/>
      <c r="M100" s="287">
        <v>53104401</v>
      </c>
      <c r="N100" s="277" t="s">
        <v>444</v>
      </c>
      <c r="O100" s="281" t="str">
        <f t="shared" si="6"/>
        <v>P860660</v>
      </c>
      <c r="P100" s="277">
        <f>LEN(Errorlog_table[[#This Row],[AIR]])</f>
        <v>7</v>
      </c>
      <c r="Q100" cm="1">
        <f t="array" ref="Q100">IF(OR(Errorlog_table[[#This Row],[AIR]]="n/a",Errorlog_table[[#This Row],[Event_code]]="Y"),"n/a",IF(Errorlog_table[[#This Row],[AIR]]="","no AIR",_xlfn.XLOOKUP(Errorlog_table[[#This Row],[AIR]],AIR_dump[[#All],[Number]],AIR_dump[[#All],[Type]],"not found",0,1)))</f>
        <v>0</v>
      </c>
      <c r="R100" s="282" t="str" cm="1">
        <f t="array" ref="R100">IF(OR(Errorlog_table[[#This Row],[AIR]]="n/a",Errorlog_table[[#This Row],[Event_code]]="Y"),"n/a",IF(Errorlog_table[[#This Row],[AIR]]="","no AIR",_xlfn.XLOOKUP(Errorlog_table[[#This Row],[AIR]],AIR_dump[[#All],[Number]],AIR_dump[[#All],[Summary]],"not found",0,1)))</f>
        <v xml:space="preserve"> [CR51] Lot abort unload fail RU-1B22 after ARR</v>
      </c>
      <c r="S100" s="347" t="str" cm="1">
        <f t="array" ref="S100">_xlfn.XLOOKUP(Errorlog_table[[#This Row],[AIR]],AIR_dump[[#All],[Number]],AIR_dump[[#All],[Close notes]])</f>
        <v>Planned patch W19 to mitigate clamp charge</v>
      </c>
      <c r="T100" s="347">
        <f>Errorlog_table[[#This Row],[Year_Week_Number]]</f>
        <v>202514</v>
      </c>
      <c r="U100" s="307" t="s">
        <v>230</v>
      </c>
      <c r="V100" s="284" t="s">
        <v>230</v>
      </c>
      <c r="W100" s="285" t="str">
        <f>Errorlog_table[[#This Row],[System]]</f>
        <v>CR51</v>
      </c>
      <c r="X100" s="366" t="str">
        <f>Errorlog_table[[#This Row],[link]]</f>
        <v>P860660</v>
      </c>
      <c r="Y100" s="277" t="str">
        <f>Errorlog_table[[#This Row],[Root_Error]]</f>
        <v>RU-1B22</v>
      </c>
      <c r="Z100" s="277" t="str">
        <f>Errorlog_table[[#This Row],[Description]]</f>
        <v>EpmID:116054| SCN - Lot Abort RU-1B22 | RU-1B22 |</v>
      </c>
      <c r="AA100" s="277" t="str">
        <f t="shared" si="5"/>
        <v>Short down</v>
      </c>
      <c r="AB100" s="278">
        <f ca="1">_xlfn.ISOWEEKNUM(Errorlog_table[[#This Row],[Date]])+52*(Errorlog_table[[#This Row],[Year]]-YEAR(DATE(YEAR(TODAY()-WEEKDAY(TODAY()-1)+4),1,1)-MOD((DATE(YEAR(TODAY()-WEEKDAY(TODAY()-1)+4),1,1)-2),7)+(7*IF(MOD((DATE(YEAR(TODAY()-WEEKDAY(TODAY()-1)+4),1,1)-2),7)&gt;3,1,0))+7) )-_xlfn.ISOWEEKNUM(NOW())</f>
        <v>-23</v>
      </c>
      <c r="AC100" s="277">
        <f>COUNTIF(MTBF_pareto[AIR],Errorlog_table[[#This Row],[AIR]])</f>
        <v>0</v>
      </c>
      <c r="AD100" s="306" t="str">
        <f>TEXT(Errorlog_table[[#This Row],[Date]],"yyyy-mm-dd")&amp;"_"&amp;TEXT(Errorlog_table[[#This Row],[SDT_Timestamp]],"HH:MM:SS")&amp;"_"&amp;Errorlog_table[[#This Row],[System]]</f>
        <v>2025-04-05_08:32:00_CR51</v>
      </c>
      <c r="AE100" s="287" t="str">
        <f>Errorlog_table[[#This Row],[P_Hits]]</f>
        <v>Y</v>
      </c>
      <c r="AF100" s="287">
        <v>0</v>
      </c>
    </row>
    <row r="101" spans="1:32" ht="28.5">
      <c r="A101" s="314" t="s">
        <v>7</v>
      </c>
      <c r="B101" s="277" t="str">
        <f>VLOOKUP(A101,'5000_Fleet'!A:D,2,FALSE)</f>
        <v>Intel</v>
      </c>
      <c r="C101" s="314" t="s">
        <v>186</v>
      </c>
      <c r="D101" s="314">
        <f>YEAR(DATE(YEAR(Errorlog_table[[#This Row],[Date]]-WEEKDAY(Errorlog_table[[#This Row],[Date]]-1)+4),1,1)-MOD((DATE(YEAR(Errorlog_table[[#This Row],[Date]]-WEEKDAY(Errorlog_table[[#This Row],[Date]]-1)+4),1,1)-2),7)+(7*IF(MOD((DATE(YEAR(Errorlog_table[[#This Row],[Date]]-WEEKDAY(Errorlog_table[[#This Row],[Date]]-1)+4),1,1)-2),7)&gt;3,1,0))+7)</f>
        <v>2025</v>
      </c>
      <c r="E101" s="278">
        <f>VALUE(TEXT(_xlfn.ISOWEEKNUM(Errorlog_table[[#This Row],[Date]]),"00"))</f>
        <v>14</v>
      </c>
      <c r="F101" s="410">
        <f>VALUE((Errorlog_table[[#This Row],[Year]])&amp;TEXT(Errorlog_table[[#This Row],[Week_Number]],"00"))</f>
        <v>202514</v>
      </c>
      <c r="G101" s="406">
        <v>45752</v>
      </c>
      <c r="H101" s="403" t="s">
        <v>528</v>
      </c>
      <c r="I101" s="314" t="s">
        <v>529</v>
      </c>
      <c r="J101" s="401" t="str">
        <f>IF(LEN(VALUE(MID(Errorlog_table[[#This Row],[Description]],FIND(":",Errorlog_table[[#This Row],[Description]])+1,6)))&gt;1,MID(Errorlog_table[[#This Row],[Description]],FIND(":",Errorlog_table[[#This Row],[Description]])+1,6),"")</f>
        <v>116059</v>
      </c>
      <c r="K101" s="314">
        <v>53.977221999999998</v>
      </c>
      <c r="L101" s="314" t="s">
        <v>530</v>
      </c>
      <c r="M101" s="277">
        <v>53104424</v>
      </c>
      <c r="N101" s="385" t="s">
        <v>416</v>
      </c>
      <c r="O101" s="281" t="str">
        <f t="shared" si="6"/>
        <v>P656698</v>
      </c>
      <c r="P101" s="277">
        <f>LEN(Errorlog_table[[#This Row],[AIR]])</f>
        <v>7</v>
      </c>
      <c r="Q101" cm="1">
        <f t="array" ref="Q101">IF(OR(Errorlog_table[[#This Row],[AIR]]="n/a",Errorlog_table[[#This Row],[Event_code]]="Y"),"n/a",IF(Errorlog_table[[#This Row],[AIR]]="","no AIR",_xlfn.XLOOKUP(Errorlog_table[[#This Row],[AIR]],AIR_dump[[#All],[Number]],AIR_dump[[#All],[Type]],"not found",0,1)))</f>
        <v>0</v>
      </c>
      <c r="R101" s="282" t="str" cm="1">
        <f t="array" ref="R101">IF(OR(Errorlog_table[[#This Row],[AIR]]="n/a",Errorlog_table[[#This Row],[Event_code]]="Y"),"n/a",IF(Errorlog_table[[#This Row],[AIR]]="","no AIR",_xlfn.XLOOKUP(Errorlog_table[[#This Row],[AIR]],AIR_dump[[#All],[Number]],AIR_dump[[#All],[Summary]],"not found",0,1)))</f>
        <v>BGDS manifolds fail during use due to broken solenoids on quick release valve</v>
      </c>
      <c r="S101" s="347" t="str" cm="1">
        <f t="array" ref="S101">_xlfn.XLOOKUP(Errorlog_table[[#This Row],[AIR]],AIR_dump[[#All],[Number]],AIR_dump[[#All],[Close notes]])</f>
        <v>BGDS manifold fails during use due to broken solonoid</v>
      </c>
      <c r="T101" s="347">
        <f>Errorlog_table[[#This Row],[Year_Week_Number]]</f>
        <v>202514</v>
      </c>
      <c r="U101" s="307" t="s">
        <v>230</v>
      </c>
      <c r="V101" s="284" t="s">
        <v>230</v>
      </c>
      <c r="W101" s="285" t="str">
        <f>Errorlog_table[[#This Row],[System]]</f>
        <v>GY86</v>
      </c>
      <c r="X101" s="366" t="str">
        <f>Errorlog_table[[#This Row],[link]]</f>
        <v>P656698</v>
      </c>
      <c r="Y101" s="277" t="str">
        <f>Errorlog_table[[#This Row],[Root_Error]]</f>
        <v>CN-0001</v>
      </c>
      <c r="Z101" s="277" t="str">
        <f>Errorlog_table[[#This Row],[Description]]</f>
        <v>EpmID:116059| SCN - Wafer Load from VPU NOK+Lot abort VPA timeout+HYCO PM Block | CN-0001 |</v>
      </c>
      <c r="AA101" s="277" t="str">
        <f t="shared" si="5"/>
        <v>XLD</v>
      </c>
      <c r="AB101" s="278">
        <f ca="1">_xlfn.ISOWEEKNUM(Errorlog_table[[#This Row],[Date]])+52*(Errorlog_table[[#This Row],[Year]]-YEAR(DATE(YEAR(TODAY()-WEEKDAY(TODAY()-1)+4),1,1)-MOD((DATE(YEAR(TODAY()-WEEKDAY(TODAY()-1)+4),1,1)-2),7)+(7*IF(MOD((DATE(YEAR(TODAY()-WEEKDAY(TODAY()-1)+4),1,1)-2),7)&gt;3,1,0))+7) )-_xlfn.ISOWEEKNUM(NOW())</f>
        <v>-23</v>
      </c>
      <c r="AC101" s="277">
        <f>COUNTIF(MTBF_pareto[AIR],Errorlog_table[[#This Row],[AIR]])</f>
        <v>0</v>
      </c>
      <c r="AD101" s="306" t="str">
        <f>TEXT(Errorlog_table[[#This Row],[Date]],"yyyy-mm-dd")&amp;"_"&amp;TEXT(Errorlog_table[[#This Row],[SDT_Timestamp]],"HH:MM:SS")&amp;"_"&amp;Errorlog_table[[#This Row],[System]]</f>
        <v>2025-04-05_11:59:00_GY86</v>
      </c>
      <c r="AE101" s="287" t="str">
        <f>Errorlog_table[[#This Row],[P_Hits]]</f>
        <v>Y</v>
      </c>
      <c r="AF101" s="287">
        <v>0</v>
      </c>
    </row>
    <row r="102" spans="1:32" ht="15">
      <c r="A102" s="314" t="s">
        <v>4</v>
      </c>
      <c r="B102" s="277" t="str">
        <f>VLOOKUP(A102,'5000_Fleet'!A:D,2,FALSE)</f>
        <v>Intel</v>
      </c>
      <c r="C102" s="314" t="s">
        <v>448</v>
      </c>
      <c r="D102" s="314">
        <f>YEAR(DATE(YEAR(Errorlog_table[[#This Row],[Date]]-WEEKDAY(Errorlog_table[[#This Row],[Date]]-1)+4),1,1)-MOD((DATE(YEAR(Errorlog_table[[#This Row],[Date]]-WEEKDAY(Errorlog_table[[#This Row],[Date]]-1)+4),1,1)-2),7)+(7*IF(MOD((DATE(YEAR(Errorlog_table[[#This Row],[Date]]-WEEKDAY(Errorlog_table[[#This Row],[Date]]-1)+4),1,1)-2),7)&gt;3,1,0))+7)</f>
        <v>2025</v>
      </c>
      <c r="E102" s="278">
        <f>VALUE(TEXT(_xlfn.ISOWEEKNUM(Errorlog_table[[#This Row],[Date]]),"00"))</f>
        <v>14</v>
      </c>
      <c r="F102" s="410">
        <f>VALUE((Errorlog_table[[#This Row],[Year]])&amp;TEXT(Errorlog_table[[#This Row],[Week_Number]],"00"))</f>
        <v>202514</v>
      </c>
      <c r="G102" s="406">
        <v>45753</v>
      </c>
      <c r="H102" s="403" t="s">
        <v>511</v>
      </c>
      <c r="I102" s="314" t="s">
        <v>512</v>
      </c>
      <c r="J102" s="401" t="str">
        <f>IF(LEN(VALUE(MID(Errorlog_table[[#This Row],[Description]],FIND(":",Errorlog_table[[#This Row],[Description]])+1,6)))&gt;1,MID(Errorlog_table[[#This Row],[Description]],FIND(":",Errorlog_table[[#This Row],[Description]])+1,6),"")</f>
        <v>116045</v>
      </c>
      <c r="K102" s="314">
        <v>2.6833330000000002</v>
      </c>
      <c r="L102" s="314"/>
      <c r="M102" s="287">
        <v>53078920</v>
      </c>
      <c r="N102" s="287" t="s">
        <v>451</v>
      </c>
      <c r="O102" s="281" t="str">
        <f t="shared" si="6"/>
        <v>P844973</v>
      </c>
      <c r="P102" s="277">
        <f>LEN(Errorlog_table[[#This Row],[AIR]])</f>
        <v>7</v>
      </c>
      <c r="Q102" cm="1">
        <f t="array" ref="Q102">IF(OR(Errorlog_table[[#This Row],[AIR]]="n/a",Errorlog_table[[#This Row],[Event_code]]="Y"),"n/a",IF(Errorlog_table[[#This Row],[AIR]]="","no AIR",_xlfn.XLOOKUP(Errorlog_table[[#This Row],[AIR]],AIR_dump[[#All],[Number]],AIR_dump[[#All],[Type]],"not found",0,1)))</f>
        <v>0</v>
      </c>
      <c r="R102" s="282" t="str" cm="1">
        <f t="array" ref="R102">IF(OR(Errorlog_table[[#This Row],[AIR]]="n/a",Errorlog_table[[#This Row],[Event_code]]="Y"),"n/a",IF(Errorlog_table[[#This Row],[AIR]]="","no AIR",_xlfn.XLOOKUP(Errorlog_table[[#This Row],[AIR]],AIR_dump[[#All],[Number]],AIR_dump[[#All],[Summary]],"not found",0,1)))</f>
        <v xml:space="preserve"> [PBS18823] WS ZJM Delivery</v>
      </c>
      <c r="S102" s="347" t="str" cm="1">
        <f t="array" ref="S102">_xlfn.XLOOKUP(Errorlog_table[[#This Row],[AIR]],AIR_dump[[#All],[Number]],AIR_dump[[#All],[Close notes]])</f>
        <v>WS ZJM delivery PBS 18823/SP23</v>
      </c>
      <c r="T102" s="347">
        <f>Errorlog_table[[#This Row],[Year_Week_Number]]</f>
        <v>202514</v>
      </c>
      <c r="U102" s="307" t="s">
        <v>230</v>
      </c>
      <c r="V102" s="284" t="s">
        <v>230</v>
      </c>
      <c r="W102" s="285" t="str">
        <f>Errorlog_table[[#This Row],[System]]</f>
        <v>CR51</v>
      </c>
      <c r="X102" s="366" t="str">
        <f>Errorlog_table[[#This Row],[link]]</f>
        <v>P844973</v>
      </c>
      <c r="Y102" s="277" t="str">
        <f>Errorlog_table[[#This Row],[Root_Error]]</f>
        <v>IS-1367</v>
      </c>
      <c r="Z102" s="277" t="str">
        <f>Errorlog_table[[#This Row],[Description]]</f>
        <v>EpmID:116045| SCN - Lot Abort IS-1367 | IS-1367 |</v>
      </c>
      <c r="AA102" s="277" t="str">
        <f t="shared" si="5"/>
        <v>Short down</v>
      </c>
      <c r="AB102" s="278">
        <f ca="1">_xlfn.ISOWEEKNUM(Errorlog_table[[#This Row],[Date]])+52*(Errorlog_table[[#This Row],[Year]]-YEAR(DATE(YEAR(TODAY()-WEEKDAY(TODAY()-1)+4),1,1)-MOD((DATE(YEAR(TODAY()-WEEKDAY(TODAY()-1)+4),1,1)-2),7)+(7*IF(MOD((DATE(YEAR(TODAY()-WEEKDAY(TODAY()-1)+4),1,1)-2),7)&gt;3,1,0))+7) )-_xlfn.ISOWEEKNUM(NOW())</f>
        <v>-23</v>
      </c>
      <c r="AC102" s="277">
        <f>COUNTIF(MTBF_pareto[AIR],Errorlog_table[[#This Row],[AIR]])</f>
        <v>0</v>
      </c>
      <c r="AD102" s="306" t="str">
        <f>TEXT(Errorlog_table[[#This Row],[Date]],"yyyy-mm-dd")&amp;"_"&amp;TEXT(Errorlog_table[[#This Row],[SDT_Timestamp]],"HH:MM:SS")&amp;"_"&amp;Errorlog_table[[#This Row],[System]]</f>
        <v>2025-04-06_18:18:00_CR51</v>
      </c>
      <c r="AE102" s="287" t="str">
        <f>Errorlog_table[[#This Row],[P_Hits]]</f>
        <v>Y</v>
      </c>
      <c r="AF102" s="287">
        <v>0</v>
      </c>
    </row>
    <row r="103" spans="1:32" ht="28.5">
      <c r="A103" s="314" t="s">
        <v>4</v>
      </c>
      <c r="B103" s="293" t="str">
        <f>VLOOKUP(A103,'5000_Fleet'!A:D,2,FALSE)</f>
        <v>Intel</v>
      </c>
      <c r="C103" s="314" t="s">
        <v>342</v>
      </c>
      <c r="D103" s="314">
        <f>YEAR(DATE(YEAR(Errorlog_table[[#This Row],[Date]]-WEEKDAY(Errorlog_table[[#This Row],[Date]]-1)+4),1,1)-MOD((DATE(YEAR(Errorlog_table[[#This Row],[Date]]-WEEKDAY(Errorlog_table[[#This Row],[Date]]-1)+4),1,1)-2),7)+(7*IF(MOD((DATE(YEAR(Errorlog_table[[#This Row],[Date]]-WEEKDAY(Errorlog_table[[#This Row],[Date]]-1)+4),1,1)-2),7)&gt;3,1,0))+7)</f>
        <v>2025</v>
      </c>
      <c r="E103" s="278">
        <f>VALUE(TEXT(_xlfn.ISOWEEKNUM(Errorlog_table[[#This Row],[Date]]),"00"))</f>
        <v>14</v>
      </c>
      <c r="F103" s="410">
        <f>VALUE((Errorlog_table[[#This Row],[Year]])&amp;TEXT(Errorlog_table[[#This Row],[Week_Number]],"00"))</f>
        <v>202514</v>
      </c>
      <c r="G103" s="407">
        <v>45753</v>
      </c>
      <c r="H103" s="408" t="s">
        <v>526</v>
      </c>
      <c r="I103" s="314" t="s">
        <v>527</v>
      </c>
      <c r="J103" s="401" t="str">
        <f>IF(LEN(VALUE(MID(Errorlog_table[[#This Row],[Description]],FIND(":",Errorlog_table[[#This Row],[Description]])+1,6)))&gt;1,MID(Errorlog_table[[#This Row],[Description]],FIND(":",Errorlog_table[[#This Row],[Description]])+1,6),"")</f>
        <v>116041</v>
      </c>
      <c r="K103" s="314">
        <v>2.733333</v>
      </c>
      <c r="L103" s="314" t="s">
        <v>524</v>
      </c>
      <c r="M103" s="287">
        <v>53104194</v>
      </c>
      <c r="N103" s="368" t="s">
        <v>525</v>
      </c>
      <c r="O103" s="281" t="str">
        <f t="shared" si="6"/>
        <v>P860104</v>
      </c>
      <c r="P103" s="293">
        <f>LEN(Errorlog_table[[#This Row],[AIR]])</f>
        <v>7</v>
      </c>
      <c r="Q103" cm="1">
        <f t="array" ref="Q103">IF(OR(Errorlog_table[[#This Row],[AIR]]="n/a",Errorlog_table[[#This Row],[Event_code]]="Y"),"n/a",IF(Errorlog_table[[#This Row],[AIR]]="","no AIR",_xlfn.XLOOKUP(Errorlog_table[[#This Row],[AIR]],AIR_dump[[#All],[Number]],AIR_dump[[#All],[Type]],"not found",0,1)))</f>
        <v>0</v>
      </c>
      <c r="R103" s="283" t="str" cm="1">
        <f t="array" ref="R103">IF(OR(Errorlog_table[[#This Row],[AIR]]="n/a",Errorlog_table[[#This Row],[Event_code]]="Y"),"n/a",IF(Errorlog_table[[#This Row],[AIR]]="","no AIR",_xlfn.XLOOKUP(Errorlog_table[[#This Row],[AIR]],AIR_dump[[#All],[Number]],AIR_dump[[#All],[Summary]],"not found",0,1)))</f>
        <v>[exe5000] KN-0605 scan predictor error causing lot aborts: KXTRMI improvement</v>
      </c>
      <c r="S103" s="347" t="str" cm="1">
        <f t="array" ref="S103">_xlfn.XLOOKUP(Errorlog_table[[#This Row],[AIR]],AIR_dump[[#All],[Number]],AIR_dump[[#All],[Close notes]])</f>
        <v>Solution in SP22</v>
      </c>
      <c r="T103" s="347">
        <f>Errorlog_table[[#This Row],[Year_Week_Number]]</f>
        <v>202514</v>
      </c>
      <c r="U103" s="307" t="s">
        <v>230</v>
      </c>
      <c r="V103" s="284" t="s">
        <v>230</v>
      </c>
      <c r="W103" s="307" t="str">
        <f>Errorlog_table[[#This Row],[System]]</f>
        <v>CR51</v>
      </c>
      <c r="X103" s="347" t="str">
        <f>Errorlog_table[[#This Row],[link]]</f>
        <v>P860104</v>
      </c>
      <c r="Y103" s="277" t="str">
        <f>Errorlog_table[[#This Row],[Root_Error]]</f>
        <v>KN-0605</v>
      </c>
      <c r="Z103" s="293" t="str">
        <f>Errorlog_table[[#This Row],[Description]]</f>
        <v>EpmID:116041| SCN - Lot abort KN-0605 | KN-0605 |</v>
      </c>
      <c r="AA103" s="293" t="str">
        <f t="shared" si="5"/>
        <v>Short down</v>
      </c>
      <c r="AB103" s="315">
        <f ca="1">_xlfn.ISOWEEKNUM(Errorlog_table[[#This Row],[Date]])+52*(Errorlog_table[[#This Row],[Year]]-YEAR(DATE(YEAR(TODAY()-WEEKDAY(TODAY()-1)+4),1,1)-MOD((DATE(YEAR(TODAY()-WEEKDAY(TODAY()-1)+4),1,1)-2),7)+(7*IF(MOD((DATE(YEAR(TODAY()-WEEKDAY(TODAY()-1)+4),1,1)-2),7)&gt;3,1,0))+7) )-_xlfn.ISOWEEKNUM(NOW())</f>
        <v>-23</v>
      </c>
      <c r="AC103" s="293">
        <f>COUNTIF(MTBF_pareto[AIR],Errorlog_table[[#This Row],[AIR]])</f>
        <v>0</v>
      </c>
      <c r="AD103" s="306" t="str">
        <f>TEXT(Errorlog_table[[#This Row],[Date]],"yyyy-mm-dd")&amp;"_"&amp;TEXT(Errorlog_table[[#This Row],[SDT_Timestamp]],"HH:MM:SS")&amp;"_"&amp;Errorlog_table[[#This Row],[System]]</f>
        <v>2025-04-06_07:34:00_CR51</v>
      </c>
      <c r="AE103" s="287" t="str">
        <f>Errorlog_table[[#This Row],[P_Hits]]</f>
        <v>Y</v>
      </c>
      <c r="AF103" s="287">
        <v>0</v>
      </c>
    </row>
    <row r="104" spans="1:32" ht="28.5">
      <c r="A104" s="289" t="s">
        <v>4</v>
      </c>
      <c r="B104" s="277" t="str">
        <f>VLOOKUP(A104,'5000_Fleet'!A:D,2,FALSE)</f>
        <v>Intel</v>
      </c>
      <c r="C104" s="289" t="s">
        <v>342</v>
      </c>
      <c r="D104" s="289">
        <f>YEAR(DATE(YEAR(Errorlog_table[[#This Row],[Date]]-WEEKDAY(Errorlog_table[[#This Row],[Date]]-1)+4),1,1)-MOD((DATE(YEAR(Errorlog_table[[#This Row],[Date]]-WEEKDAY(Errorlog_table[[#This Row],[Date]]-1)+4),1,1)-2),7)+(7*IF(MOD((DATE(YEAR(Errorlog_table[[#This Row],[Date]]-WEEKDAY(Errorlog_table[[#This Row],[Date]]-1)+4),1,1)-2),7)&gt;3,1,0))+7)</f>
        <v>2025</v>
      </c>
      <c r="E104" s="278">
        <f>VALUE(TEXT(_xlfn.ISOWEEKNUM(Errorlog_table[[#This Row],[Date]]),"00"))</f>
        <v>15</v>
      </c>
      <c r="F104" s="410">
        <f>VALUE((Errorlog_table[[#This Row],[Year]])&amp;TEXT(Errorlog_table[[#This Row],[Week_Number]],"00"))</f>
        <v>202515</v>
      </c>
      <c r="G104" s="384">
        <v>45754</v>
      </c>
      <c r="H104" s="289" t="s">
        <v>539</v>
      </c>
      <c r="I104" s="366" t="s">
        <v>540</v>
      </c>
      <c r="J104" s="347" t="str">
        <f>IF(LEN(VALUE(MID(Errorlog_table[[#This Row],[Description]],FIND(":",Errorlog_table[[#This Row],[Description]])+1,6)))&gt;1,MID(Errorlog_table[[#This Row],[Description]],FIND(":",Errorlog_table[[#This Row],[Description]])+1,6),"")</f>
        <v>116175</v>
      </c>
      <c r="K104" s="289">
        <v>2.4333330000000002</v>
      </c>
      <c r="L104" s="289" t="s">
        <v>524</v>
      </c>
      <c r="M104" s="277">
        <v>53104194</v>
      </c>
      <c r="N104" s="277" t="s">
        <v>525</v>
      </c>
      <c r="O104" s="281" t="str">
        <f t="shared" si="6"/>
        <v>P860104</v>
      </c>
      <c r="P104" s="277">
        <f>LEN(Errorlog_table[[#This Row],[AIR]])</f>
        <v>7</v>
      </c>
      <c r="Q104" cm="1">
        <f t="array" ref="Q104">IF(OR(Errorlog_table[[#This Row],[AIR]]="n/a",Errorlog_table[[#This Row],[Event_code]]="Y"),"n/a",IF(Errorlog_table[[#This Row],[AIR]]="","no AIR",_xlfn.XLOOKUP(Errorlog_table[[#This Row],[AIR]],AIR_dump[[#All],[Number]],AIR_dump[[#All],[Type]],"not found",0,1)))</f>
        <v>0</v>
      </c>
      <c r="R104" s="282" t="str" cm="1">
        <f t="array" ref="R104">IF(OR(Errorlog_table[[#This Row],[AIR]]="n/a",Errorlog_table[[#This Row],[Event_code]]="Y"),"n/a",IF(Errorlog_table[[#This Row],[AIR]]="","no AIR",_xlfn.XLOOKUP(Errorlog_table[[#This Row],[AIR]],AIR_dump[[#All],[Number]],AIR_dump[[#All],[Summary]],"not found",0,1)))</f>
        <v>[exe5000] KN-0605 scan predictor error causing lot aborts: KXTRMI improvement</v>
      </c>
      <c r="S104" s="347" t="str" cm="1">
        <f t="array" ref="S104">_xlfn.XLOOKUP(Errorlog_table[[#This Row],[AIR]],AIR_dump[[#All],[Number]],AIR_dump[[#All],[Close notes]])</f>
        <v>Solution in SP22</v>
      </c>
      <c r="T104" s="347">
        <f>Errorlog_table[[#This Row],[Year_Week_Number]]</f>
        <v>202515</v>
      </c>
      <c r="U104" s="307" t="s">
        <v>230</v>
      </c>
      <c r="V104" s="284" t="s">
        <v>230</v>
      </c>
      <c r="W104" s="285" t="str">
        <f>Errorlog_table[[#This Row],[System]]</f>
        <v>CR51</v>
      </c>
      <c r="X104" s="366" t="str">
        <f>Errorlog_table[[#This Row],[link]]</f>
        <v>P860104</v>
      </c>
      <c r="Y104" s="277" t="str">
        <f>Errorlog_table[[#This Row],[Root_Error]]</f>
        <v>KN-0605</v>
      </c>
      <c r="Z104" s="277" t="str">
        <f>Errorlog_table[[#This Row],[Description]]</f>
        <v>EpmID:116175| SCN - Lot Abort for KN-0605 | kn-0605 |</v>
      </c>
      <c r="AA104" s="277" t="str">
        <f t="shared" si="5"/>
        <v>Short down</v>
      </c>
      <c r="AB104" s="278">
        <f ca="1">_xlfn.ISOWEEKNUM(Errorlog_table[[#This Row],[Date]])+52*(Errorlog_table[[#This Row],[Year]]-YEAR(DATE(YEAR(TODAY()-WEEKDAY(TODAY()-1)+4),1,1)-MOD((DATE(YEAR(TODAY()-WEEKDAY(TODAY()-1)+4),1,1)-2),7)+(7*IF(MOD((DATE(YEAR(TODAY()-WEEKDAY(TODAY()-1)+4),1,1)-2),7)&gt;3,1,0))+7) )-_xlfn.ISOWEEKNUM(NOW())</f>
        <v>-22</v>
      </c>
      <c r="AC104" s="277">
        <f>COUNTIF(MTBF_pareto[AIR],Errorlog_table[[#This Row],[AIR]])</f>
        <v>0</v>
      </c>
      <c r="AD104" s="306" t="str">
        <f>TEXT(Errorlog_table[[#This Row],[Date]],"yyyy-mm-dd")&amp;"_"&amp;TEXT(Errorlog_table[[#This Row],[SDT_Timestamp]],"HH:MM:SS")&amp;"_"&amp;Errorlog_table[[#This Row],[System]]</f>
        <v>2025-04-07_14:44:00_CR51</v>
      </c>
      <c r="AE104" s="287" t="str">
        <f>Errorlog_table[[#This Row],[P_Hits]]</f>
        <v>Y</v>
      </c>
      <c r="AF104" s="287">
        <v>0</v>
      </c>
    </row>
    <row r="105" spans="1:32" ht="15">
      <c r="A105" s="289" t="s">
        <v>7</v>
      </c>
      <c r="B105" s="277" t="str">
        <f>VLOOKUP(A105,'5000_Fleet'!A:D,2,FALSE)</f>
        <v>Intel</v>
      </c>
      <c r="C105" s="289" t="s">
        <v>544</v>
      </c>
      <c r="D105" s="289">
        <f>YEAR(DATE(YEAR(Errorlog_table[[#This Row],[Date]]-WEEKDAY(Errorlog_table[[#This Row],[Date]]-1)+4),1,1)-MOD((DATE(YEAR(Errorlog_table[[#This Row],[Date]]-WEEKDAY(Errorlog_table[[#This Row],[Date]]-1)+4),1,1)-2),7)+(7*IF(MOD((DATE(YEAR(Errorlog_table[[#This Row],[Date]]-WEEKDAY(Errorlog_table[[#This Row],[Date]]-1)+4),1,1)-2),7)&gt;3,1,0))+7)</f>
        <v>2025</v>
      </c>
      <c r="E105" s="278">
        <f>VALUE(TEXT(_xlfn.ISOWEEKNUM(Errorlog_table[[#This Row],[Date]]),"00"))</f>
        <v>15</v>
      </c>
      <c r="F105" s="410">
        <f>VALUE((Errorlog_table[[#This Row],[Year]])&amp;TEXT(Errorlog_table[[#This Row],[Week_Number]],"00"))</f>
        <v>202515</v>
      </c>
      <c r="G105" s="384">
        <v>45758</v>
      </c>
      <c r="H105" s="289" t="s">
        <v>545</v>
      </c>
      <c r="I105" s="366" t="s">
        <v>546</v>
      </c>
      <c r="J105" s="401" t="str">
        <f>IF(LEN(VALUE(MID(Errorlog_table[[#This Row],[Description]],FIND(":",Errorlog_table[[#This Row],[Description]])+1,6)))&gt;1,MID(Errorlog_table[[#This Row],[Description]],FIND(":",Errorlog_table[[#This Row],[Description]])+1,6),"")</f>
        <v>116880</v>
      </c>
      <c r="K105" s="289">
        <v>3.25</v>
      </c>
      <c r="L105" s="289" t="s">
        <v>92</v>
      </c>
      <c r="M105" s="277">
        <v>53110291</v>
      </c>
      <c r="N105" s="287" t="s">
        <v>547</v>
      </c>
      <c r="O105" s="281" t="str">
        <f t="shared" si="6"/>
        <v>P869352</v>
      </c>
      <c r="P105" s="277">
        <f>LEN(Errorlog_table[[#This Row],[AIR]])</f>
        <v>7</v>
      </c>
      <c r="Q105" cm="1">
        <f t="array" ref="Q105">IF(OR(Errorlog_table[[#This Row],[AIR]]="n/a",Errorlog_table[[#This Row],[Event_code]]="Y"),"n/a",IF(Errorlog_table[[#This Row],[AIR]]="","no AIR",_xlfn.XLOOKUP(Errorlog_table[[#This Row],[AIR]],AIR_dump[[#All],[Number]],AIR_dump[[#All],[Type]],"not found",0,1)))</f>
        <v>0</v>
      </c>
      <c r="R105" s="282" t="str" cm="1">
        <f t="array" ref="R105">IF(OR(Errorlog_table[[#This Row],[AIR]]="n/a",Errorlog_table[[#This Row],[Event_code]]="Y"),"n/a",IF(Errorlog_table[[#This Row],[AIR]]="","no AIR",_xlfn.XLOOKUP(Errorlog_table[[#This Row],[AIR]],AIR_dump[[#All],[Number]],AIR_dump[[#All],[Summary]],"not found",0,1)))</f>
        <v>[EX04] 2DBCR Failed to Read Barcode with active focus error</v>
      </c>
      <c r="S105" s="347" t="str" cm="1">
        <f t="array" ref="S105">_xlfn.XLOOKUP(Errorlog_table[[#This Row],[AIR]],AIR_dump[[#All],[Number]],AIR_dump[[#All],[Close notes]])</f>
        <v>Working on diagnostic patch to continue RCA</v>
      </c>
      <c r="T105" s="347">
        <f>Errorlog_table[[#This Row],[Year_Week_Number]]</f>
        <v>202515</v>
      </c>
      <c r="U105" s="307" t="s">
        <v>239</v>
      </c>
      <c r="V105" s="284" t="s">
        <v>230</v>
      </c>
      <c r="W105" s="285" t="str">
        <f>Errorlog_table[[#This Row],[System]]</f>
        <v>GY86</v>
      </c>
      <c r="X105" s="366" t="str">
        <f>Errorlog_table[[#This Row],[link]]</f>
        <v>P869352</v>
      </c>
      <c r="Y105" s="277" t="str">
        <f>Errorlog_table[[#This Row],[Root_Error]]</f>
        <v>RH-C1D0</v>
      </c>
      <c r="Z105" s="277" t="str">
        <f>Errorlog_table[[#This Row],[Description]]</f>
        <v>EpmID:116880| SCN - CU_OT_RET_LOAD_ERR | ND |</v>
      </c>
      <c r="AA105" s="277" t="str">
        <f t="shared" si="5"/>
        <v>Short down</v>
      </c>
      <c r="AB105" s="278">
        <f ca="1">_xlfn.ISOWEEKNUM(Errorlog_table[[#This Row],[Date]])+52*(Errorlog_table[[#This Row],[Year]]-YEAR(DATE(YEAR(TODAY()-WEEKDAY(TODAY()-1)+4),1,1)-MOD((DATE(YEAR(TODAY()-WEEKDAY(TODAY()-1)+4),1,1)-2),7)+(7*IF(MOD((DATE(YEAR(TODAY()-WEEKDAY(TODAY()-1)+4),1,1)-2),7)&gt;3,1,0))+7) )-_xlfn.ISOWEEKNUM(NOW())</f>
        <v>-22</v>
      </c>
      <c r="AC105" s="277">
        <f>COUNTIF(MTBF_pareto[AIR],Errorlog_table[[#This Row],[AIR]])</f>
        <v>0</v>
      </c>
      <c r="AD105" s="306" t="str">
        <f>TEXT(Errorlog_table[[#This Row],[Date]],"yyyy-mm-dd")&amp;"_"&amp;TEXT(Errorlog_table[[#This Row],[SDT_Timestamp]],"HH:MM:SS")&amp;"_"&amp;Errorlog_table[[#This Row],[System]]</f>
        <v>2025-04-11_01:29:00_GY86</v>
      </c>
      <c r="AE105" s="287" t="str">
        <f>Errorlog_table[[#This Row],[P_Hits]]</f>
        <v>N</v>
      </c>
      <c r="AF105" s="287">
        <v>0</v>
      </c>
    </row>
    <row r="106" spans="1:32" ht="28.5">
      <c r="A106" s="289" t="s">
        <v>7</v>
      </c>
      <c r="B106" s="277" t="str">
        <f>VLOOKUP(A106,'5000_Fleet'!A:D,2,FALSE)</f>
        <v>Intel</v>
      </c>
      <c r="C106" s="289" t="s">
        <v>541</v>
      </c>
      <c r="D106" s="289">
        <f>YEAR(DATE(YEAR(Errorlog_table[[#This Row],[Date]]-WEEKDAY(Errorlog_table[[#This Row],[Date]]-1)+4),1,1)-MOD((DATE(YEAR(Errorlog_table[[#This Row],[Date]]-WEEKDAY(Errorlog_table[[#This Row],[Date]]-1)+4),1,1)-2),7)+(7*IF(MOD((DATE(YEAR(Errorlog_table[[#This Row],[Date]]-WEEKDAY(Errorlog_table[[#This Row],[Date]]-1)+4),1,1)-2),7)&gt;3,1,0))+7)</f>
        <v>2025</v>
      </c>
      <c r="E106" s="278">
        <f>VALUE(TEXT(_xlfn.ISOWEEKNUM(Errorlog_table[[#This Row],[Date]]),"00"))</f>
        <v>15</v>
      </c>
      <c r="F106" s="410">
        <f>VALUE((Errorlog_table[[#This Row],[Year]])&amp;TEXT(Errorlog_table[[#This Row],[Week_Number]],"00"))</f>
        <v>202515</v>
      </c>
      <c r="G106" s="384">
        <v>45759</v>
      </c>
      <c r="H106" s="289" t="s">
        <v>542</v>
      </c>
      <c r="I106" s="366" t="s">
        <v>543</v>
      </c>
      <c r="J106" s="401" t="str">
        <f>IF(LEN(VALUE(MID(Errorlog_table[[#This Row],[Description]],FIND(":",Errorlog_table[[#This Row],[Description]])+1,6)))&gt;1,MID(Errorlog_table[[#This Row],[Description]],FIND(":",Errorlog_table[[#This Row],[Description]])+1,6),"")</f>
        <v>116986</v>
      </c>
      <c r="K106" s="289">
        <v>5.8833330000000004</v>
      </c>
      <c r="L106" s="289" t="s">
        <v>115</v>
      </c>
      <c r="M106" s="277">
        <v>53099631</v>
      </c>
      <c r="N106" s="292" t="s">
        <v>534</v>
      </c>
      <c r="O106" s="281" t="str">
        <f t="shared" si="6"/>
        <v>P872439</v>
      </c>
      <c r="P106" s="277">
        <f>LEN(Errorlog_table[[#This Row],[AIR]])</f>
        <v>7</v>
      </c>
      <c r="Q106" cm="1">
        <f t="array" ref="Q106">IF(OR(Errorlog_table[[#This Row],[AIR]]="n/a",Errorlog_table[[#This Row],[Event_code]]="Y"),"n/a",IF(Errorlog_table[[#This Row],[AIR]]="","no AIR",_xlfn.XLOOKUP(Errorlog_table[[#This Row],[AIR]],AIR_dump[[#All],[Number]],AIR_dump[[#All],[Type]],"not found",0,1)))</f>
        <v>0</v>
      </c>
      <c r="R106" s="282" t="str" cm="1">
        <f t="array" ref="R106">IF(OR(Errorlog_table[[#This Row],[AIR]]="n/a",Errorlog_table[[#This Row],[Event_code]]="Y"),"n/a",IF(Errorlog_table[[#This Row],[AIR]]="","no AIR",_xlfn.XLOOKUP(Errorlog_table[[#This Row],[AIR]],AIR_dump[[#All],[Number]],AIR_dump[[#All],[Summary]],"not found",0,1)))</f>
        <v>SP21 changed wafer reject behavior to a lot abort behavior KU-5113 ==&gt; RR-1110</v>
      </c>
      <c r="S106" s="347" t="str" cm="1">
        <f t="array" ref="S106">_xlfn.XLOOKUP(Errorlog_table[[#This Row],[AIR]],AIR_dump[[#All],[Number]],AIR_dump[[#All],[Close notes]])</f>
        <v>SP23  500K solution in SP22</v>
      </c>
      <c r="T106" s="347">
        <f>Errorlog_table[[#This Row],[Year_Week_Number]]</f>
        <v>202515</v>
      </c>
      <c r="U106" s="307" t="s">
        <v>230</v>
      </c>
      <c r="V106" s="284" t="s">
        <v>230</v>
      </c>
      <c r="W106" s="285" t="str">
        <f>Errorlog_table[[#This Row],[System]]</f>
        <v>GY86</v>
      </c>
      <c r="X106" s="366" t="str">
        <f>Errorlog_table[[#This Row],[link]]</f>
        <v>P872439</v>
      </c>
      <c r="Y106" s="277" t="str">
        <f>Errorlog_table[[#This Row],[Root_Error]]</f>
        <v>RR-1110</v>
      </c>
      <c r="Z106" s="277" t="str">
        <f>Errorlog_table[[#This Row],[Description]]</f>
        <v>EpmID:116986| SCN - LOT abort RR-1110 | RR-1110 |</v>
      </c>
      <c r="AA106" s="277" t="str">
        <f t="shared" si="5"/>
        <v>Short down</v>
      </c>
      <c r="AB106" s="278">
        <f ca="1">_xlfn.ISOWEEKNUM(Errorlog_table[[#This Row],[Date]])+52*(Errorlog_table[[#This Row],[Year]]-YEAR(DATE(YEAR(TODAY()-WEEKDAY(TODAY()-1)+4),1,1)-MOD((DATE(YEAR(TODAY()-WEEKDAY(TODAY()-1)+4),1,1)-2),7)+(7*IF(MOD((DATE(YEAR(TODAY()-WEEKDAY(TODAY()-1)+4),1,1)-2),7)&gt;3,1,0))+7) )-_xlfn.ISOWEEKNUM(NOW())</f>
        <v>-22</v>
      </c>
      <c r="AC106" s="277">
        <f>COUNTIF(MTBF_pareto[AIR],Errorlog_table[[#This Row],[AIR]])</f>
        <v>0</v>
      </c>
      <c r="AD106" s="306" t="str">
        <f>TEXT(Errorlog_table[[#This Row],[Date]],"yyyy-mm-dd")&amp;"_"&amp;TEXT(Errorlog_table[[#This Row],[SDT_Timestamp]],"HH:MM:SS")&amp;"_"&amp;Errorlog_table[[#This Row],[System]]</f>
        <v>2025-04-12_09:56:00_GY86</v>
      </c>
      <c r="AE106" s="287" t="str">
        <f>Errorlog_table[[#This Row],[P_Hits]]</f>
        <v>Y</v>
      </c>
      <c r="AF106" s="287">
        <v>0</v>
      </c>
    </row>
    <row r="107" spans="1:32" ht="28.5">
      <c r="A107" s="289" t="s">
        <v>4</v>
      </c>
      <c r="B107" s="277" t="str">
        <f>VLOOKUP(A107,'5000_Fleet'!A:D,2,FALSE)</f>
        <v>Intel</v>
      </c>
      <c r="C107" s="289" t="s">
        <v>399</v>
      </c>
      <c r="D107" s="289">
        <f>YEAR(DATE(YEAR(Errorlog_table[[#This Row],[Date]]-WEEKDAY(Errorlog_table[[#This Row],[Date]]-1)+4),1,1)-MOD((DATE(YEAR(Errorlog_table[[#This Row],[Date]]-WEEKDAY(Errorlog_table[[#This Row],[Date]]-1)+4),1,1)-2),7)+(7*IF(MOD((DATE(YEAR(Errorlog_table[[#This Row],[Date]]-WEEKDAY(Errorlog_table[[#This Row],[Date]]-1)+4),1,1)-2),7)&gt;3,1,0))+7)</f>
        <v>2025</v>
      </c>
      <c r="E107" s="278">
        <f>VALUE(TEXT(_xlfn.ISOWEEKNUM(Errorlog_table[[#This Row],[Date]]),"00"))</f>
        <v>16</v>
      </c>
      <c r="F107" s="410">
        <f>VALUE((Errorlog_table[[#This Row],[Year]])&amp;TEXT(Errorlog_table[[#This Row],[Week_Number]],"00"))</f>
        <v>202516</v>
      </c>
      <c r="G107" s="384">
        <v>45761</v>
      </c>
      <c r="H107" s="289" t="s">
        <v>555</v>
      </c>
      <c r="I107" s="366" t="s">
        <v>556</v>
      </c>
      <c r="J107" s="401" t="str">
        <f>IF(LEN(VALUE(MID(Errorlog_table[[#This Row],[Description]],FIND(":",Errorlog_table[[#This Row],[Description]])+1,6)))&gt;1,MID(Errorlog_table[[#This Row],[Description]],FIND(":",Errorlog_table[[#This Row],[Description]])+1,6),"")</f>
        <v>117138</v>
      </c>
      <c r="K107" s="289">
        <v>0.61666699999999997</v>
      </c>
      <c r="L107" s="289" t="s">
        <v>92</v>
      </c>
      <c r="M107" s="277">
        <v>53018437</v>
      </c>
      <c r="N107" s="277" t="s">
        <v>402</v>
      </c>
      <c r="O107" s="281" t="str">
        <f t="shared" si="6"/>
        <v>P823264</v>
      </c>
      <c r="P107" s="277">
        <f>LEN(Errorlog_table[[#This Row],[AIR]])</f>
        <v>7</v>
      </c>
      <c r="Q107" cm="1">
        <f t="array" ref="Q107">IF(OR(Errorlog_table[[#This Row],[AIR]]="n/a",Errorlog_table[[#This Row],[Event_code]]="Y"),"n/a",IF(Errorlog_table[[#This Row],[AIR]]="","no AIR",_xlfn.XLOOKUP(Errorlog_table[[#This Row],[AIR]],AIR_dump[[#All],[Number]],AIR_dump[[#All],[Type]],"not found",0,1)))</f>
        <v>0</v>
      </c>
      <c r="R107" s="282" t="str" cm="1">
        <f t="array" ref="R107">IF(OR(Errorlog_table[[#This Row],[AIR]]="n/a",Errorlog_table[[#This Row],[Event_code]]="Y"),"n/a",IF(Errorlog_table[[#This Row],[AIR]]="","no AIR",_xlfn.XLOOKUP(Errorlog_table[[#This Row],[AIR]],AIR_dump[[#All],[Number]],AIR_dump[[#All],[Summary]],"not found",0,1)))</f>
        <v>Reticle Inventory fails due to 2DBCR cannot read barcode</v>
      </c>
      <c r="S107" s="347" t="str" cm="1">
        <f t="array" ref="S107">_xlfn.XLOOKUP(Errorlog_table[[#This Row],[AIR]],AIR_dump[[#All],[Number]],AIR_dump[[#All],[Close notes]])</f>
        <v>Working on diagnostic patch to continue RCA</v>
      </c>
      <c r="T107" s="347">
        <f>Errorlog_table[[#This Row],[Year_Week_Number]]</f>
        <v>202516</v>
      </c>
      <c r="U107" s="307" t="s">
        <v>239</v>
      </c>
      <c r="V107" s="284" t="s">
        <v>230</v>
      </c>
      <c r="W107" s="285" t="str">
        <f>Errorlog_table[[#This Row],[System]]</f>
        <v>CR51</v>
      </c>
      <c r="X107" s="366" t="str">
        <f>Errorlog_table[[#This Row],[link]]</f>
        <v>P823264</v>
      </c>
      <c r="Y107" s="277" t="str">
        <f>Errorlog_table[[#This Row],[Root_Error]]</f>
        <v>RH-C177</v>
      </c>
      <c r="Z107" s="277" t="str">
        <f>Errorlog_table[[#This Row],[Description]]</f>
        <v>EpmID:117138| SCN -  Move customer reticle | RH-C177 | RH 2DBC</v>
      </c>
      <c r="AA107" s="277" t="str">
        <f t="shared" si="5"/>
        <v>Short down</v>
      </c>
      <c r="AB107" s="278">
        <f ca="1">_xlfn.ISOWEEKNUM(Errorlog_table[[#This Row],[Date]])+52*(Errorlog_table[[#This Row],[Year]]-YEAR(DATE(YEAR(TODAY()-WEEKDAY(TODAY()-1)+4),1,1)-MOD((DATE(YEAR(TODAY()-WEEKDAY(TODAY()-1)+4),1,1)-2),7)+(7*IF(MOD((DATE(YEAR(TODAY()-WEEKDAY(TODAY()-1)+4),1,1)-2),7)&gt;3,1,0))+7) )-_xlfn.ISOWEEKNUM(NOW())</f>
        <v>-21</v>
      </c>
      <c r="AC107" s="277">
        <f>COUNTIF(MTBF_pareto[AIR],Errorlog_table[[#This Row],[AIR]])</f>
        <v>0</v>
      </c>
      <c r="AD107" s="306" t="str">
        <f>TEXT(Errorlog_table[[#This Row],[Date]],"yyyy-mm-dd")&amp;"_"&amp;TEXT(Errorlog_table[[#This Row],[SDT_Timestamp]],"HH:MM:SS")&amp;"_"&amp;Errorlog_table[[#This Row],[System]]</f>
        <v>2025-04-14_20:18:00_CR51</v>
      </c>
      <c r="AE107" s="287" t="str">
        <f>Errorlog_table[[#This Row],[P_Hits]]</f>
        <v>N</v>
      </c>
      <c r="AF107" s="287">
        <v>0</v>
      </c>
    </row>
    <row r="108" spans="1:32" ht="15">
      <c r="A108" s="289" t="s">
        <v>7</v>
      </c>
      <c r="B108" s="277" t="str">
        <f>VLOOKUP(A108,'5000_Fleet'!A:D,2,FALSE)</f>
        <v>Intel</v>
      </c>
      <c r="C108" s="289" t="s">
        <v>548</v>
      </c>
      <c r="D108" s="289">
        <f>YEAR(DATE(YEAR(Errorlog_table[[#This Row],[Date]]-WEEKDAY(Errorlog_table[[#This Row],[Date]]-1)+4),1,1)-MOD((DATE(YEAR(Errorlog_table[[#This Row],[Date]]-WEEKDAY(Errorlog_table[[#This Row],[Date]]-1)+4),1,1)-2),7)+(7*IF(MOD((DATE(YEAR(Errorlog_table[[#This Row],[Date]]-WEEKDAY(Errorlog_table[[#This Row],[Date]]-1)+4),1,1)-2),7)&gt;3,1,0))+7)</f>
        <v>2025</v>
      </c>
      <c r="E108" s="278">
        <f>VALUE(TEXT(_xlfn.ISOWEEKNUM(Errorlog_table[[#This Row],[Date]]),"00"))</f>
        <v>16</v>
      </c>
      <c r="F108" s="410">
        <f>VALUE((Errorlog_table[[#This Row],[Year]])&amp;TEXT(Errorlog_table[[#This Row],[Week_Number]],"00"))</f>
        <v>202516</v>
      </c>
      <c r="G108" s="384">
        <v>45762</v>
      </c>
      <c r="H108" s="289" t="s">
        <v>549</v>
      </c>
      <c r="I108" s="366" t="s">
        <v>550</v>
      </c>
      <c r="J108" s="401" t="str">
        <f>IF(LEN(VALUE(MID(Errorlog_table[[#This Row],[Description]],FIND(":",Errorlog_table[[#This Row],[Description]])+1,6)))&gt;1,MID(Errorlog_table[[#This Row],[Description]],FIND(":",Errorlog_table[[#This Row],[Description]])+1,6),"")</f>
        <v>117331</v>
      </c>
      <c r="K108" s="289">
        <v>7.0833329999999997</v>
      </c>
      <c r="L108" s="289" t="s">
        <v>113</v>
      </c>
      <c r="M108" s="277">
        <v>53114003</v>
      </c>
      <c r="N108" s="277" t="s">
        <v>551</v>
      </c>
      <c r="O108" s="281" t="str">
        <f t="shared" si="6"/>
        <v>P877184</v>
      </c>
      <c r="P108" s="277">
        <f>LEN(Errorlog_table[[#This Row],[AIR]])</f>
        <v>7</v>
      </c>
      <c r="Q108" cm="1">
        <f t="array" ref="Q108">IF(OR(Errorlog_table[[#This Row],[AIR]]="n/a",Errorlog_table[[#This Row],[Event_code]]="Y"),"n/a",IF(Errorlog_table[[#This Row],[AIR]]="","no AIR",_xlfn.XLOOKUP(Errorlog_table[[#This Row],[AIR]],AIR_dump[[#All],[Number]],AIR_dump[[#All],[Type]],"not found",0,1)))</f>
        <v>0</v>
      </c>
      <c r="R108" s="282" t="str" cm="1">
        <f t="array" ref="R108">IF(OR(Errorlog_table[[#This Row],[AIR]]="n/a",Errorlog_table[[#This Row],[Event_code]]="Y"),"n/a",IF(Errorlog_table[[#This Row],[AIR]]="","no AIR",_xlfn.XLOOKUP(Errorlog_table[[#This Row],[AIR]],AIR_dump[[#All],[Number]],AIR_dump[[#All],[Summary]],"not found",0,1)))</f>
        <v>mGY86 LZ-2004 Lot abort</v>
      </c>
      <c r="S108" s="347" t="str" cm="1">
        <f t="array" ref="S108">_xlfn.XLOOKUP(Errorlog_table[[#This Row],[AIR]],AIR_dump[[#All],[Number]],AIR_dump[[#All],[Close notes]])</f>
        <v>Containment available additional tracing needed</v>
      </c>
      <c r="T108" s="347">
        <f>Errorlog_table[[#This Row],[Year_Week_Number]]</f>
        <v>202516</v>
      </c>
      <c r="U108" s="307" t="s">
        <v>230</v>
      </c>
      <c r="V108" s="284" t="s">
        <v>230</v>
      </c>
      <c r="W108" s="285" t="str">
        <f>Errorlog_table[[#This Row],[System]]</f>
        <v>GY86</v>
      </c>
      <c r="X108" s="366" t="str">
        <f>Errorlog_table[[#This Row],[link]]</f>
        <v>P877184</v>
      </c>
      <c r="Y108" s="277" t="str">
        <f>Errorlog_table[[#This Row],[Root_Error]]</f>
        <v>LZ-2004</v>
      </c>
      <c r="Z108" s="277" t="str">
        <f>Errorlog_table[[#This Row],[Description]]</f>
        <v>EpmID:117331| SCN - Lot Abort LZ-2004 | LZ-2004 |</v>
      </c>
      <c r="AA108" s="277" t="str">
        <f t="shared" si="5"/>
        <v>Short down</v>
      </c>
      <c r="AB108" s="278">
        <f ca="1">_xlfn.ISOWEEKNUM(Errorlog_table[[#This Row],[Date]])+52*(Errorlog_table[[#This Row],[Year]]-YEAR(DATE(YEAR(TODAY()-WEEKDAY(TODAY()-1)+4),1,1)-MOD((DATE(YEAR(TODAY()-WEEKDAY(TODAY()-1)+4),1,1)-2),7)+(7*IF(MOD((DATE(YEAR(TODAY()-WEEKDAY(TODAY()-1)+4),1,1)-2),7)&gt;3,1,0))+7) )-_xlfn.ISOWEEKNUM(NOW())</f>
        <v>-21</v>
      </c>
      <c r="AC108" s="277">
        <f>COUNTIF(MTBF_pareto[AIR],Errorlog_table[[#This Row],[AIR]])</f>
        <v>0</v>
      </c>
      <c r="AD108" s="306" t="str">
        <f>TEXT(Errorlog_table[[#This Row],[Date]],"yyyy-mm-dd")&amp;"_"&amp;TEXT(Errorlog_table[[#This Row],[SDT_Timestamp]],"HH:MM:SS")&amp;"_"&amp;Errorlog_table[[#This Row],[System]]</f>
        <v>2025-04-15_14:38:00_GY86</v>
      </c>
      <c r="AE108" s="287" t="str">
        <f>Errorlog_table[[#This Row],[P_Hits]]</f>
        <v>Y</v>
      </c>
      <c r="AF108" s="287">
        <v>0</v>
      </c>
    </row>
    <row r="109" spans="1:32" ht="28.5">
      <c r="A109" s="289" t="s">
        <v>4</v>
      </c>
      <c r="B109" s="293" t="str">
        <f>VLOOKUP(A109,'5000_Fleet'!A:D,2,FALSE)</f>
        <v>Intel</v>
      </c>
      <c r="C109" s="289" t="s">
        <v>441</v>
      </c>
      <c r="D109" s="289">
        <f>YEAR(DATE(YEAR(Errorlog_table[[#This Row],[Date]]-WEEKDAY(Errorlog_table[[#This Row],[Date]]-1)+4),1,1)-MOD((DATE(YEAR(Errorlog_table[[#This Row],[Date]]-WEEKDAY(Errorlog_table[[#This Row],[Date]]-1)+4),1,1)-2),7)+(7*IF(MOD((DATE(YEAR(Errorlog_table[[#This Row],[Date]]-WEEKDAY(Errorlog_table[[#This Row],[Date]]-1)+4),1,1)-2),7)&gt;3,1,0))+7)</f>
        <v>2025</v>
      </c>
      <c r="E109" s="278">
        <f>VALUE(TEXT(_xlfn.ISOWEEKNUM(Errorlog_table[[#This Row],[Date]]),"00"))</f>
        <v>16</v>
      </c>
      <c r="F109" s="410">
        <f>VALUE((Errorlog_table[[#This Row],[Year]])&amp;TEXT(Errorlog_table[[#This Row],[Week_Number]],"00"))</f>
        <v>202516</v>
      </c>
      <c r="G109" s="384">
        <v>45762</v>
      </c>
      <c r="H109" s="289" t="s">
        <v>552</v>
      </c>
      <c r="I109" s="347" t="s">
        <v>553</v>
      </c>
      <c r="J109" s="401" t="str">
        <f>IF(LEN(VALUE(MID(Errorlog_table[[#This Row],[Description]],FIND(":",Errorlog_table[[#This Row],[Description]])+1,6)))&gt;1,MID(Errorlog_table[[#This Row],[Description]],FIND(":",Errorlog_table[[#This Row],[Description]])+1,6),"")</f>
        <v>117141</v>
      </c>
      <c r="K109" s="289">
        <v>3.25</v>
      </c>
      <c r="M109" s="293">
        <v>53113754</v>
      </c>
      <c r="N109" s="293" t="s">
        <v>554</v>
      </c>
      <c r="O109" s="281" t="str">
        <f t="shared" si="6"/>
        <v>P862294</v>
      </c>
      <c r="P109" s="293">
        <f>LEN(Errorlog_table[[#This Row],[AIR]])</f>
        <v>7</v>
      </c>
      <c r="Q109" cm="1">
        <f t="array" ref="Q109">IF(OR(Errorlog_table[[#This Row],[AIR]]="n/a",Errorlog_table[[#This Row],[Event_code]]="Y"),"n/a",IF(Errorlog_table[[#This Row],[AIR]]="","no AIR",_xlfn.XLOOKUP(Errorlog_table[[#This Row],[AIR]],AIR_dump[[#All],[Number]],AIR_dump[[#All],[Type]],"not found",0,1)))</f>
        <v>0</v>
      </c>
      <c r="R109" s="282" t="str" cm="1">
        <f t="array" ref="R109">IF(OR(Errorlog_table[[#This Row],[AIR]]="n/a",Errorlog_table[[#This Row],[Event_code]]="Y"),"n/a",IF(Errorlog_table[[#This Row],[AIR]]="","no AIR",_xlfn.XLOOKUP(Errorlog_table[[#This Row],[AIR]],AIR_dump[[#All],[Number]],AIR_dump[[#All],[Summary]],"not found",0,1)))</f>
        <v>EMFCMI fails on RM-3183 in EXE Proto2 (mEX04)</v>
      </c>
      <c r="S109" s="347" t="str" cm="1">
        <f t="array" ref="S109">_xlfn.XLOOKUP(Errorlog_table[[#This Row],[AIR]],AIR_dump[[#All],[Number]],AIR_dump[[#All],[Close notes]])</f>
        <v>Containment available RC</v>
      </c>
      <c r="T109" s="347">
        <f>Errorlog_table[[#This Row],[Year_Week_Number]]</f>
        <v>202516</v>
      </c>
      <c r="U109" s="307" t="s">
        <v>239</v>
      </c>
      <c r="V109" s="284" t="s">
        <v>230</v>
      </c>
      <c r="W109" s="307" t="str">
        <f>Errorlog_table[[#This Row],[System]]</f>
        <v>CR51</v>
      </c>
      <c r="X109" s="347" t="str">
        <f>Errorlog_table[[#This Row],[link]]</f>
        <v>P862294</v>
      </c>
      <c r="Y109" s="277" t="str">
        <f>Errorlog_table[[#This Row],[Root_Error]]</f>
        <v>RU-1B22</v>
      </c>
      <c r="Z109" s="293" t="str">
        <f>Errorlog_table[[#This Row],[Description]]</f>
        <v>EpmID:117141| SCN - REMA BLADE FAILED RM-3183 | RU-1B22 |</v>
      </c>
      <c r="AA109" s="293" t="str">
        <f t="shared" si="5"/>
        <v>Short down</v>
      </c>
      <c r="AB109" s="315">
        <f ca="1">_xlfn.ISOWEEKNUM(Errorlog_table[[#This Row],[Date]])+52*(Errorlog_table[[#This Row],[Year]]-YEAR(DATE(YEAR(TODAY()-WEEKDAY(TODAY()-1)+4),1,1)-MOD((DATE(YEAR(TODAY()-WEEKDAY(TODAY()-1)+4),1,1)-2),7)+(7*IF(MOD((DATE(YEAR(TODAY()-WEEKDAY(TODAY()-1)+4),1,1)-2),7)&gt;3,1,0))+7) )-_xlfn.ISOWEEKNUM(NOW())</f>
        <v>-21</v>
      </c>
      <c r="AC109" s="293">
        <f>COUNTIF(MTBF_pareto[AIR],Errorlog_table[[#This Row],[AIR]])</f>
        <v>0</v>
      </c>
      <c r="AD109" s="306" t="str">
        <f>TEXT(Errorlog_table[[#This Row],[Date]],"yyyy-mm-dd")&amp;"_"&amp;TEXT(Errorlog_table[[#This Row],[SDT_Timestamp]],"HH:MM:SS")&amp;"_"&amp;Errorlog_table[[#This Row],[System]]</f>
        <v>2025-04-15_06:45:00_CR51</v>
      </c>
      <c r="AE109" s="287" t="str">
        <f>Errorlog_table[[#This Row],[P_Hits]]</f>
        <v>N</v>
      </c>
      <c r="AF109" s="287">
        <v>0</v>
      </c>
    </row>
    <row r="110" spans="1:32" ht="15">
      <c r="A110" s="289" t="s">
        <v>4</v>
      </c>
      <c r="B110" s="293" t="str">
        <f>VLOOKUP(A110,'5000_Fleet'!A:D,2,FALSE)</f>
        <v>Intel</v>
      </c>
      <c r="C110" s="289" t="s">
        <v>441</v>
      </c>
      <c r="D110" s="289">
        <f>YEAR(DATE(YEAR(Errorlog_table[[#This Row],[Date]]-WEEKDAY(Errorlog_table[[#This Row],[Date]]-1)+4),1,1)-MOD((DATE(YEAR(Errorlog_table[[#This Row],[Date]]-WEEKDAY(Errorlog_table[[#This Row],[Date]]-1)+4),1,1)-2),7)+(7*IF(MOD((DATE(YEAR(Errorlog_table[[#This Row],[Date]]-WEEKDAY(Errorlog_table[[#This Row],[Date]]-1)+4),1,1)-2),7)&gt;3,1,0))+7)</f>
        <v>2025</v>
      </c>
      <c r="E110" s="278">
        <f>VALUE(TEXT(_xlfn.ISOWEEKNUM(Errorlog_table[[#This Row],[Date]]),"00"))</f>
        <v>17</v>
      </c>
      <c r="F110" s="410">
        <f>VALUE((Errorlog_table[[#This Row],[Year]])&amp;TEXT(Errorlog_table[[#This Row],[Week_Number]],"00"))</f>
        <v>202517</v>
      </c>
      <c r="G110" s="384">
        <v>45768</v>
      </c>
      <c r="H110" s="289" t="s">
        <v>566</v>
      </c>
      <c r="I110" s="289" t="s">
        <v>567</v>
      </c>
      <c r="J110" s="347" t="str">
        <f>IF(LEN(VALUE(MID(Errorlog_table[[#This Row],[Description]],FIND(":",Errorlog_table[[#This Row],[Description]])+1,6)))&gt;1,MID(Errorlog_table[[#This Row],[Description]],FIND(":",Errorlog_table[[#This Row],[Description]])+1,6),"")</f>
        <v>117807</v>
      </c>
      <c r="K110" s="289">
        <v>1.95</v>
      </c>
      <c r="M110" s="293">
        <v>53118871</v>
      </c>
      <c r="N110" s="293" t="s">
        <v>444</v>
      </c>
      <c r="O110" s="281" t="str">
        <f t="shared" si="6"/>
        <v>P860660</v>
      </c>
      <c r="P110" s="293">
        <f>LEN(Errorlog_table[[#This Row],[AIR]])</f>
        <v>7</v>
      </c>
      <c r="Q110" cm="1">
        <f t="array" ref="Q110">IF(OR(Errorlog_table[[#This Row],[AIR]]="n/a",Errorlog_table[[#This Row],[Event_code]]="Y"),"n/a",IF(Errorlog_table[[#This Row],[AIR]]="","no AIR",_xlfn.XLOOKUP(Errorlog_table[[#This Row],[AIR]],AIR_dump[[#All],[Number]],AIR_dump[[#All],[Type]],"not found",0,1)))</f>
        <v>0</v>
      </c>
      <c r="R110" s="282" t="str" cm="1">
        <f t="array" ref="R110">IF(OR(Errorlog_table[[#This Row],[AIR]]="n/a",Errorlog_table[[#This Row],[Event_code]]="Y"),"n/a",IF(Errorlog_table[[#This Row],[AIR]]="","no AIR",_xlfn.XLOOKUP(Errorlog_table[[#This Row],[AIR]],AIR_dump[[#All],[Number]],AIR_dump[[#All],[Summary]],"not found",0,1)))</f>
        <v xml:space="preserve"> [CR51] Lot abort unload fail RU-1B22 after ARR</v>
      </c>
      <c r="S110" s="347" t="str" cm="1">
        <f t="array" ref="S110">_xlfn.XLOOKUP(Errorlog_table[[#This Row],[AIR]],AIR_dump[[#All],[Number]],AIR_dump[[#All],[Close notes]])</f>
        <v>Planned patch W19 to mitigate clamp charge</v>
      </c>
      <c r="T110" s="347">
        <f>Errorlog_table[[#This Row],[Year_Week_Number]]</f>
        <v>202517</v>
      </c>
      <c r="U110" s="307" t="s">
        <v>239</v>
      </c>
      <c r="V110" s="284" t="s">
        <v>230</v>
      </c>
      <c r="W110" s="307" t="str">
        <f>Errorlog_table[[#This Row],[System]]</f>
        <v>CR51</v>
      </c>
      <c r="X110" s="347" t="str">
        <f>Errorlog_table[[#This Row],[link]]</f>
        <v>P860660</v>
      </c>
      <c r="Y110" s="277" t="str">
        <f>Errorlog_table[[#This Row],[Root_Error]]</f>
        <v>RU-1B22</v>
      </c>
      <c r="Z110" s="293" t="str">
        <f>Errorlog_table[[#This Row],[Description]]</f>
        <v>EpmID:117807| SCN - RU-1B22 Failed | RU-1B22 | ARR NOK</v>
      </c>
      <c r="AA110" s="293" t="str">
        <f t="shared" si="5"/>
        <v>Short down</v>
      </c>
      <c r="AB110" s="315">
        <f ca="1">_xlfn.ISOWEEKNUM(Errorlog_table[[#This Row],[Date]])+52*(Errorlog_table[[#This Row],[Year]]-YEAR(DATE(YEAR(TODAY()-WEEKDAY(TODAY()-1)+4),1,1)-MOD((DATE(YEAR(TODAY()-WEEKDAY(TODAY()-1)+4),1,1)-2),7)+(7*IF(MOD((DATE(YEAR(TODAY()-WEEKDAY(TODAY()-1)+4),1,1)-2),7)&gt;3,1,0))+7) )-_xlfn.ISOWEEKNUM(NOW())</f>
        <v>-20</v>
      </c>
      <c r="AC110" s="293">
        <f>COUNTIF(MTBF_pareto[AIR],Errorlog_table[[#This Row],[AIR]])</f>
        <v>0</v>
      </c>
      <c r="AD110" s="306" t="str">
        <f>TEXT(Errorlog_table[[#This Row],[Date]],"yyyy-mm-dd")&amp;"_"&amp;TEXT(Errorlog_table[[#This Row],[SDT_Timestamp]],"HH:MM:SS")&amp;"_"&amp;Errorlog_table[[#This Row],[System]]</f>
        <v>2025-04-21_00:50:00_CR51</v>
      </c>
      <c r="AE110" s="287" t="str">
        <f>Errorlog_table[[#This Row],[P_Hits]]</f>
        <v>N</v>
      </c>
      <c r="AF110" s="287">
        <v>0</v>
      </c>
    </row>
    <row r="111" spans="1:32" ht="15">
      <c r="A111" s="289" t="s">
        <v>7</v>
      </c>
      <c r="B111" s="293" t="str">
        <f>VLOOKUP(A111,'5000_Fleet'!A:D,2,FALSE)</f>
        <v>Intel</v>
      </c>
      <c r="C111" s="289" t="s">
        <v>562</v>
      </c>
      <c r="D111" s="289">
        <f>YEAR(DATE(YEAR(Errorlog_table[[#This Row],[Date]]-WEEKDAY(Errorlog_table[[#This Row],[Date]]-1)+4),1,1)-MOD((DATE(YEAR(Errorlog_table[[#This Row],[Date]]-WEEKDAY(Errorlog_table[[#This Row],[Date]]-1)+4),1,1)-2),7)+(7*IF(MOD((DATE(YEAR(Errorlog_table[[#This Row],[Date]]-WEEKDAY(Errorlog_table[[#This Row],[Date]]-1)+4),1,1)-2),7)&gt;3,1,0))+7)</f>
        <v>2025</v>
      </c>
      <c r="E111" s="278">
        <f>VALUE(TEXT(_xlfn.ISOWEEKNUM(Errorlog_table[[#This Row],[Date]]),"00"))</f>
        <v>17</v>
      </c>
      <c r="F111" s="410">
        <f>VALUE((Errorlog_table[[#This Row],[Year]])&amp;TEXT(Errorlog_table[[#This Row],[Week_Number]],"00"))</f>
        <v>202517</v>
      </c>
      <c r="G111" s="384">
        <v>45769</v>
      </c>
      <c r="H111" s="289" t="s">
        <v>563</v>
      </c>
      <c r="I111" s="289" t="s">
        <v>564</v>
      </c>
      <c r="J111" s="347" t="str">
        <f>IF(LEN(VALUE(MID(Errorlog_table[[#This Row],[Description]],FIND(":",Errorlog_table[[#This Row],[Description]])+1,6)))&gt;1,MID(Errorlog_table[[#This Row],[Description]],FIND(":",Errorlog_table[[#This Row],[Description]])+1,6),"")</f>
        <v>118241</v>
      </c>
      <c r="K111" s="289">
        <v>1.2</v>
      </c>
      <c r="L111" s="289" t="s">
        <v>127</v>
      </c>
      <c r="M111" s="293">
        <v>53120389</v>
      </c>
      <c r="N111" s="293" t="s">
        <v>565</v>
      </c>
      <c r="O111" s="281" t="str">
        <f t="shared" si="6"/>
        <v>P856296</v>
      </c>
      <c r="P111" s="293">
        <f>LEN(Errorlog_table[[#This Row],[AIR]])</f>
        <v>7</v>
      </c>
      <c r="Q111">
        <v>0</v>
      </c>
      <c r="R111" s="282" t="str" cm="1">
        <f t="array" ref="R111">IF(OR(Errorlog_table[[#This Row],[AIR]]="n/a",Errorlog_table[[#This Row],[Event_code]]="Y"),"n/a",IF(Errorlog_table[[#This Row],[AIR]]="","no AIR",_xlfn.XLOOKUP(Errorlog_table[[#This Row],[AIR]],AIR_dump[[#All],[Number]],AIR_dump[[#All],[Summary]],"not found",0,1)))</f>
        <v>memory leak on task DWDT (SP40)</v>
      </c>
      <c r="S111" s="347" t="str" cm="1">
        <f t="array" ref="S111">_xlfn.XLOOKUP(Errorlog_table[[#This Row],[AIR]],AIR_dump[[#All],[Number]],AIR_dump[[#All],[Close notes]])</f>
        <v>Available in QBL from wk2510</v>
      </c>
      <c r="T111" s="347">
        <f>Errorlog_table[[#This Row],[Year_Week_Number]]</f>
        <v>202517</v>
      </c>
      <c r="U111" s="307" t="s">
        <v>230</v>
      </c>
      <c r="V111" s="284" t="s">
        <v>230</v>
      </c>
      <c r="W111" s="307" t="str">
        <f>Errorlog_table[[#This Row],[System]]</f>
        <v>GY86</v>
      </c>
      <c r="X111" s="347" t="str">
        <f>Errorlog_table[[#This Row],[link]]</f>
        <v>P856296</v>
      </c>
      <c r="Y111" s="277" t="str">
        <f>Errorlog_table[[#This Row],[Root_Error]]</f>
        <v>DD-0000</v>
      </c>
      <c r="Z111" s="293" t="str">
        <f>Errorlog_table[[#This Row],[Description]]</f>
        <v>EpmID:118241| SCN - Lot Abort out of memory DD-0000 | DD-0000 |</v>
      </c>
      <c r="AA111" s="293" t="str">
        <f t="shared" si="5"/>
        <v>Short down</v>
      </c>
      <c r="AB111" s="315">
        <f ca="1">_xlfn.ISOWEEKNUM(Errorlog_table[[#This Row],[Date]])+52*(Errorlog_table[[#This Row],[Year]]-YEAR(DATE(YEAR(TODAY()-WEEKDAY(TODAY()-1)+4),1,1)-MOD((DATE(YEAR(TODAY()-WEEKDAY(TODAY()-1)+4),1,1)-2),7)+(7*IF(MOD((DATE(YEAR(TODAY()-WEEKDAY(TODAY()-1)+4),1,1)-2),7)&gt;3,1,0))+7) )-_xlfn.ISOWEEKNUM(NOW())</f>
        <v>-20</v>
      </c>
      <c r="AC111" s="293">
        <f>COUNTIF(MTBF_pareto[AIR],Errorlog_table[[#This Row],[AIR]])</f>
        <v>0</v>
      </c>
      <c r="AD111" s="306" t="str">
        <f>TEXT(Errorlog_table[[#This Row],[Date]],"yyyy-mm-dd")&amp;"_"&amp;TEXT(Errorlog_table[[#This Row],[SDT_Timestamp]],"HH:MM:SS")&amp;"_"&amp;Errorlog_table[[#This Row],[System]]</f>
        <v>2025-04-22_18:29:00_GY86</v>
      </c>
      <c r="AE111" s="287" t="str">
        <f>Errorlog_table[[#This Row],[P_Hits]]</f>
        <v>Y</v>
      </c>
      <c r="AF111" s="287">
        <v>0</v>
      </c>
    </row>
    <row r="112" spans="1:32" ht="15">
      <c r="A112" s="289" t="s">
        <v>4</v>
      </c>
      <c r="B112" s="293" t="str">
        <f>VLOOKUP(A112,'5000_Fleet'!A:D,2,FALSE)</f>
        <v>Intel</v>
      </c>
      <c r="C112" s="289" t="s">
        <v>557</v>
      </c>
      <c r="D112" s="289">
        <f>YEAR(DATE(YEAR(Errorlog_table[[#This Row],[Date]]-WEEKDAY(Errorlog_table[[#This Row],[Date]]-1)+4),1,1)-MOD((DATE(YEAR(Errorlog_table[[#This Row],[Date]]-WEEKDAY(Errorlog_table[[#This Row],[Date]]-1)+4),1,1)-2),7)+(7*IF(MOD((DATE(YEAR(Errorlog_table[[#This Row],[Date]]-WEEKDAY(Errorlog_table[[#This Row],[Date]]-1)+4),1,1)-2),7)&gt;3,1,0))+7)</f>
        <v>2025</v>
      </c>
      <c r="E112" s="278">
        <f>VALUE(TEXT(_xlfn.ISOWEEKNUM(Errorlog_table[[#This Row],[Date]]),"00"))</f>
        <v>17</v>
      </c>
      <c r="F112" s="410">
        <f>VALUE((Errorlog_table[[#This Row],[Year]])&amp;TEXT(Errorlog_table[[#This Row],[Week_Number]],"00"))</f>
        <v>202517</v>
      </c>
      <c r="G112" s="384">
        <v>45770</v>
      </c>
      <c r="H112" s="289" t="s">
        <v>558</v>
      </c>
      <c r="I112" s="289" t="s">
        <v>559</v>
      </c>
      <c r="J112" s="347" t="str">
        <f>IF(LEN(VALUE(MID(Errorlog_table[[#This Row],[Description]],FIND(":",Errorlog_table[[#This Row],[Description]])+1,6)))&gt;1,MID(Errorlog_table[[#This Row],[Description]],FIND(":",Errorlog_table[[#This Row],[Description]])+1,6),"")</f>
        <v>118621</v>
      </c>
      <c r="K112" s="289">
        <v>16.666667</v>
      </c>
      <c r="L112" s="289" t="s">
        <v>118</v>
      </c>
      <c r="M112" s="293">
        <v>53121688</v>
      </c>
      <c r="N112" s="293"/>
      <c r="O112" s="281">
        <f t="shared" si="6"/>
        <v>53121688</v>
      </c>
      <c r="P112" s="293">
        <f>LEN(Errorlog_table[[#This Row],[AIR]])</f>
        <v>0</v>
      </c>
      <c r="Q112">
        <v>0</v>
      </c>
      <c r="R112" s="282" t="s">
        <v>560</v>
      </c>
      <c r="S112" s="347" t="s">
        <v>561</v>
      </c>
      <c r="T112" s="347">
        <f>Errorlog_table[[#This Row],[Year_Week_Number]]</f>
        <v>202517</v>
      </c>
      <c r="U112" s="307" t="s">
        <v>230</v>
      </c>
      <c r="V112" s="284" t="s">
        <v>230</v>
      </c>
      <c r="W112" s="307" t="str">
        <f>Errorlog_table[[#This Row],[System]]</f>
        <v>CR51</v>
      </c>
      <c r="X112" s="347">
        <f>Errorlog_table[[#This Row],[link]]</f>
        <v>53121688</v>
      </c>
      <c r="Y112" s="277" t="str">
        <f>Errorlog_table[[#This Row],[Root_Error]]</f>
        <v>WX-2B11</v>
      </c>
      <c r="Z112" s="293" t="str">
        <f>Errorlog_table[[#This Row],[Description]]</f>
        <v>EpmID:118621| SCN - Lot abort | WX-2B11 |</v>
      </c>
      <c r="AA112" s="293" t="str">
        <f t="shared" si="5"/>
        <v>XLD</v>
      </c>
      <c r="AB112" s="315">
        <f ca="1">_xlfn.ISOWEEKNUM(Errorlog_table[[#This Row],[Date]])+52*(Errorlog_table[[#This Row],[Year]]-YEAR(DATE(YEAR(TODAY()-WEEKDAY(TODAY()-1)+4),1,1)-MOD((DATE(YEAR(TODAY()-WEEKDAY(TODAY()-1)+4),1,1)-2),7)+(7*IF(MOD((DATE(YEAR(TODAY()-WEEKDAY(TODAY()-1)+4),1,1)-2),7)&gt;3,1,0))+7) )-_xlfn.ISOWEEKNUM(NOW())</f>
        <v>-20</v>
      </c>
      <c r="AC112" s="293">
        <f>COUNTIF(MTBF_pareto[AIR],Errorlog_table[[#This Row],[AIR]])</f>
        <v>0</v>
      </c>
      <c r="AD112" s="306" t="str">
        <f>TEXT(Errorlog_table[[#This Row],[Date]],"yyyy-mm-dd")&amp;"_"&amp;TEXT(Errorlog_table[[#This Row],[SDT_Timestamp]],"HH:MM:SS")&amp;"_"&amp;Errorlog_table[[#This Row],[System]]</f>
        <v>2025-04-23_21:43:00_CR51</v>
      </c>
      <c r="AE112" s="287" t="str">
        <f>Errorlog_table[[#This Row],[P_Hits]]</f>
        <v>Y</v>
      </c>
      <c r="AF112" s="287">
        <v>0</v>
      </c>
    </row>
    <row r="113" spans="1:32" ht="15">
      <c r="A113" s="289" t="s">
        <v>4</v>
      </c>
      <c r="B113" s="293" t="str">
        <f>VLOOKUP(A113,'5000_Fleet'!A:D,2,FALSE)</f>
        <v>Intel</v>
      </c>
      <c r="C113" s="289" t="s">
        <v>399</v>
      </c>
      <c r="D113" s="289">
        <f>YEAR(DATE(YEAR(Errorlog_table[[#This Row],[Date]]-WEEKDAY(Errorlog_table[[#This Row],[Date]]-1)+4),1,1)-MOD((DATE(YEAR(Errorlog_table[[#This Row],[Date]]-WEEKDAY(Errorlog_table[[#This Row],[Date]]-1)+4),1,1)-2),7)+(7*IF(MOD((DATE(YEAR(Errorlog_table[[#This Row],[Date]]-WEEKDAY(Errorlog_table[[#This Row],[Date]]-1)+4),1,1)-2),7)&gt;3,1,0))+7)</f>
        <v>2025</v>
      </c>
      <c r="E113" s="315">
        <f>VALUE(TEXT(_xlfn.ISOWEEKNUM(Errorlog_table[[#This Row],[Date]]),"00"))</f>
        <v>17</v>
      </c>
      <c r="F113" s="411">
        <f>VALUE((Errorlog_table[[#This Row],[Year]])&amp;TEXT(Errorlog_table[[#This Row],[Week_Number]],"00"))</f>
        <v>202517</v>
      </c>
      <c r="G113" s="384">
        <v>45773</v>
      </c>
      <c r="H113" s="289" t="s">
        <v>568</v>
      </c>
      <c r="I113" s="289" t="s">
        <v>569</v>
      </c>
      <c r="J113" s="347" t="str">
        <f>IF(LEN(VALUE(MID(Errorlog_table[[#This Row],[Description]],FIND(":",Errorlog_table[[#This Row],[Description]])+1,6)))&gt;1,MID(Errorlog_table[[#This Row],[Description]],FIND(":",Errorlog_table[[#This Row],[Description]])+1,6),"")</f>
        <v>118729</v>
      </c>
      <c r="K113" s="289">
        <v>0.41666700000000001</v>
      </c>
      <c r="L113" s="289" t="s">
        <v>92</v>
      </c>
      <c r="M113" s="293">
        <v>53123912</v>
      </c>
      <c r="N113" s="293" t="s">
        <v>402</v>
      </c>
      <c r="O113" s="281" t="str">
        <f t="shared" si="6"/>
        <v>P823264</v>
      </c>
      <c r="P113" s="293">
        <f>LEN(Errorlog_table[[#This Row],[AIR]])</f>
        <v>7</v>
      </c>
      <c r="Q113" cm="1">
        <f t="array" ref="Q113">IF(OR(Errorlog_table[[#This Row],[AIR]]="n/a",Errorlog_table[[#This Row],[Event_code]]="Y"),"n/a",IF(Errorlog_table[[#This Row],[AIR]]="","no AIR",_xlfn.XLOOKUP(Errorlog_table[[#This Row],[AIR]],AIR_dump[[#All],[Number]],AIR_dump[[#All],[Type]],"not found",0,1)))</f>
        <v>0</v>
      </c>
      <c r="R113" s="283" t="str" cm="1">
        <f t="array" ref="R113">IF(OR(Errorlog_table[[#This Row],[AIR]]="n/a",Errorlog_table[[#This Row],[Event_code]]="Y"),"n/a",IF(Errorlog_table[[#This Row],[AIR]]="","no AIR",_xlfn.XLOOKUP(Errorlog_table[[#This Row],[AIR]],AIR_dump[[#All],[Number]],AIR_dump[[#All],[Summary]],"not found",0,1)))</f>
        <v>Reticle Inventory fails due to 2DBCR cannot read barcode</v>
      </c>
      <c r="S113" s="347" t="str" cm="1">
        <f t="array" ref="S113">_xlfn.XLOOKUP(Errorlog_table[[#This Row],[AIR]],AIR_dump[[#All],[Number]],AIR_dump[[#All],[Close notes]])</f>
        <v>Working on diagnostic patch to continue RCA</v>
      </c>
      <c r="T113" s="347">
        <f>Errorlog_table[[#This Row],[Year_Week_Number]]</f>
        <v>202517</v>
      </c>
      <c r="U113" s="307" t="s">
        <v>239</v>
      </c>
      <c r="V113" s="284" t="s">
        <v>230</v>
      </c>
      <c r="W113" s="307" t="str">
        <f>Errorlog_table[[#This Row],[System]]</f>
        <v>CR51</v>
      </c>
      <c r="X113" s="347" t="str">
        <f>Errorlog_table[[#This Row],[link]]</f>
        <v>P823264</v>
      </c>
      <c r="Y113" s="293" t="str">
        <f>Errorlog_table[[#This Row],[Root_Error]]</f>
        <v>RH-C177</v>
      </c>
      <c r="Z113" s="293" t="str">
        <f>Errorlog_table[[#This Row],[Description]]</f>
        <v>EpmID:118729| SCN - 2DBC unknown reticle ID | RH-C177 |</v>
      </c>
      <c r="AA113" s="293" t="str">
        <f t="shared" si="5"/>
        <v>Short down</v>
      </c>
      <c r="AB113" s="315">
        <f ca="1">_xlfn.ISOWEEKNUM(Errorlog_table[[#This Row],[Date]])+52*(Errorlog_table[[#This Row],[Year]]-YEAR(DATE(YEAR(TODAY()-WEEKDAY(TODAY()-1)+4),1,1)-MOD((DATE(YEAR(TODAY()-WEEKDAY(TODAY()-1)+4),1,1)-2),7)+(7*IF(MOD((DATE(YEAR(TODAY()-WEEKDAY(TODAY()-1)+4),1,1)-2),7)&gt;3,1,0))+7) )-_xlfn.ISOWEEKNUM(NOW())</f>
        <v>-20</v>
      </c>
      <c r="AC113" s="293">
        <f>COUNTIF(MTBF_pareto[AIR],Errorlog_table[[#This Row],[AIR]])</f>
        <v>0</v>
      </c>
      <c r="AD113" s="306" t="str">
        <f>TEXT(Errorlog_table[[#This Row],[Date]],"yyyy-mm-dd")&amp;"_"&amp;TEXT(Errorlog_table[[#This Row],[SDT_Timestamp]],"HH:MM:SS")&amp;"_"&amp;Errorlog_table[[#This Row],[System]]</f>
        <v>2025-04-26_08:31:00_CR51</v>
      </c>
      <c r="AE113" s="287" t="str">
        <f>Errorlog_table[[#This Row],[P_Hits]]</f>
        <v>N</v>
      </c>
      <c r="AF113" s="287">
        <v>0</v>
      </c>
    </row>
    <row r="114" spans="1:32" ht="15">
      <c r="A114" s="414" t="s">
        <v>4</v>
      </c>
      <c r="B114" s="287" t="str">
        <f>VLOOKUP(A114,'5000_Fleet'!A:D,2,FALSE)</f>
        <v>Intel</v>
      </c>
      <c r="C114" s="220" t="s">
        <v>399</v>
      </c>
      <c r="D114" s="220">
        <f>YEAR(DATE(YEAR(Errorlog_table[[#This Row],[Date]]-WEEKDAY(Errorlog_table[[#This Row],[Date]]-1)+4),1,1)-MOD((DATE(YEAR(Errorlog_table[[#This Row],[Date]]-WEEKDAY(Errorlog_table[[#This Row],[Date]]-1)+4),1,1)-2),7)+(7*IF(MOD((DATE(YEAR(Errorlog_table[[#This Row],[Date]]-WEEKDAY(Errorlog_table[[#This Row],[Date]]-1)+4),1,1)-2),7)&gt;3,1,0))+7)</f>
        <v>2025</v>
      </c>
      <c r="E114" s="415">
        <f>VALUE(TEXT(_xlfn.ISOWEEKNUM(Errorlog_table[[#This Row],[Date]]),"00"))</f>
        <v>18</v>
      </c>
      <c r="F114" s="416">
        <f>VALUE((Errorlog_table[[#This Row],[Year]])&amp;TEXT(Errorlog_table[[#This Row],[Week_Number]],"00"))</f>
        <v>202518</v>
      </c>
      <c r="G114" s="417">
        <v>45775</v>
      </c>
      <c r="H114" s="418" t="s">
        <v>570</v>
      </c>
      <c r="I114" s="437" t="s">
        <v>571</v>
      </c>
      <c r="J114" s="385" t="str">
        <f>IF(LEN(VALUE(MID(Errorlog_table[[#This Row],[Description]],FIND(":",Errorlog_table[[#This Row],[Description]])+1,6)))&gt;1,MID(Errorlog_table[[#This Row],[Description]],FIND(":",Errorlog_table[[#This Row],[Description]])+1,6),"")</f>
        <v>118922</v>
      </c>
      <c r="K114" s="419">
        <v>0.2</v>
      </c>
      <c r="L114" s="221" t="s">
        <v>92</v>
      </c>
      <c r="M114" s="287">
        <v>53123912</v>
      </c>
      <c r="N114" s="287" t="s">
        <v>402</v>
      </c>
      <c r="O114" s="281" t="str">
        <f t="shared" si="6"/>
        <v>P823264</v>
      </c>
      <c r="P114" s="287">
        <f>LEN(Errorlog_table[[#This Row],[AIR]])</f>
        <v>7</v>
      </c>
      <c r="Q114" s="37" cm="1">
        <f t="array" ref="Q114">IF(OR(Errorlog_table[[#This Row],[AIR]]="n/a",Errorlog_table[[#This Row],[Event_code]]="Y"),"n/a",IF(Errorlog_table[[#This Row],[AIR]]="","no AIR",_xlfn.XLOOKUP(Errorlog_table[[#This Row],[AIR]],AIR_dump[[#All],[Number]],AIR_dump[[#All],[Type]],"not found",0,1)))</f>
        <v>0</v>
      </c>
      <c r="R114" s="420" t="str" cm="1">
        <f t="array" ref="R114">IF(OR(Errorlog_table[[#This Row],[AIR]]="n/a",Errorlog_table[[#This Row],[Event_code]]="Y"),"n/a",IF(Errorlog_table[[#This Row],[AIR]]="","no AIR",_xlfn.XLOOKUP(Errorlog_table[[#This Row],[AIR]],AIR_dump[[#All],[Number]],AIR_dump[[#All],[Summary]],"not found",0,1)))</f>
        <v>Reticle Inventory fails due to 2DBCR cannot read barcode</v>
      </c>
      <c r="S114" s="385" t="str" cm="1">
        <f t="array" ref="S114">_xlfn.XLOOKUP(Errorlog_table[[#This Row],[AIR]],AIR_dump[[#All],[Number]],AIR_dump[[#All],[Close notes]])</f>
        <v>Working on diagnostic patch to continue RCA</v>
      </c>
      <c r="T114" s="385">
        <f>Errorlog_table[[#This Row],[Year_Week_Number]]</f>
        <v>202518</v>
      </c>
      <c r="U114" s="421" t="s">
        <v>239</v>
      </c>
      <c r="V114" s="421" t="s">
        <v>230</v>
      </c>
      <c r="W114" s="421" t="str">
        <f>Errorlog_table[[#This Row],[System]]</f>
        <v>CR51</v>
      </c>
      <c r="X114" s="385" t="str">
        <f>Errorlog_table[[#This Row],[link]]</f>
        <v>P823264</v>
      </c>
      <c r="Y114" s="287" t="str">
        <f>Errorlog_table[[#This Row],[Root_Error]]</f>
        <v>RH-C177</v>
      </c>
      <c r="Z114" s="287" t="str">
        <f>Errorlog_table[[#This Row],[Description]]</f>
        <v>EpmID:118922| SCN - 2DBC unknown reticle ID | RH-C177 |</v>
      </c>
      <c r="AA114" s="287" t="str">
        <f t="shared" si="5"/>
        <v>Short down</v>
      </c>
      <c r="AB114" s="415">
        <f ca="1">_xlfn.ISOWEEKNUM(Errorlog_table[[#This Row],[Date]])+52*(Errorlog_table[[#This Row],[Year]]-YEAR(DATE(YEAR(TODAY()-WEEKDAY(TODAY()-1)+4),1,1)-MOD((DATE(YEAR(TODAY()-WEEKDAY(TODAY()-1)+4),1,1)-2),7)+(7*IF(MOD((DATE(YEAR(TODAY()-WEEKDAY(TODAY()-1)+4),1,1)-2),7)&gt;3,1,0))+7) )-_xlfn.ISOWEEKNUM(NOW())</f>
        <v>-19</v>
      </c>
      <c r="AC114" s="287">
        <f>COUNTIF(MTBF_pareto[AIR],Errorlog_table[[#This Row],[AIR]])</f>
        <v>0</v>
      </c>
      <c r="AD114" s="306" t="str">
        <f>TEXT(Errorlog_table[[#This Row],[Date]],"yyyy-mm-dd")&amp;"_"&amp;TEXT(Errorlog_table[[#This Row],[SDT_Timestamp]],"HH:MM:SS")&amp;"_"&amp;Errorlog_table[[#This Row],[System]]</f>
        <v>2025-04-28_17:00:00_CR51</v>
      </c>
      <c r="AE114" s="287" t="str">
        <f>Errorlog_table[[#This Row],[P_Hits]]</f>
        <v>N</v>
      </c>
      <c r="AF114" s="287">
        <v>0</v>
      </c>
    </row>
    <row r="115" spans="1:32" ht="28.5">
      <c r="A115" s="414" t="s">
        <v>4</v>
      </c>
      <c r="B115" s="287" t="str">
        <f>VLOOKUP(A115,'5000_Fleet'!A:D,2,FALSE)</f>
        <v>Intel</v>
      </c>
      <c r="C115" s="220" t="s">
        <v>572</v>
      </c>
      <c r="D115" s="220">
        <f>YEAR(DATE(YEAR(Errorlog_table[[#This Row],[Date]]-WEEKDAY(Errorlog_table[[#This Row],[Date]]-1)+4),1,1)-MOD((DATE(YEAR(Errorlog_table[[#This Row],[Date]]-WEEKDAY(Errorlog_table[[#This Row],[Date]]-1)+4),1,1)-2),7)+(7*IF(MOD((DATE(YEAR(Errorlog_table[[#This Row],[Date]]-WEEKDAY(Errorlog_table[[#This Row],[Date]]-1)+4),1,1)-2),7)&gt;3,1,0))+7)</f>
        <v>2025</v>
      </c>
      <c r="E115" s="415">
        <f>VALUE(TEXT(_xlfn.ISOWEEKNUM(Errorlog_table[[#This Row],[Date]]),"00"))</f>
        <v>18</v>
      </c>
      <c r="F115" s="416">
        <f>VALUE((Errorlog_table[[#This Row],[Year]])&amp;TEXT(Errorlog_table[[#This Row],[Week_Number]],"00"))</f>
        <v>202518</v>
      </c>
      <c r="G115" s="417">
        <v>45778</v>
      </c>
      <c r="H115" s="418" t="s">
        <v>373</v>
      </c>
      <c r="I115" s="437" t="s">
        <v>573</v>
      </c>
      <c r="J115" s="385" t="str">
        <f>IF(LEN(VALUE(MID(Errorlog_table[[#This Row],[Description]],FIND(":",Errorlog_table[[#This Row],[Description]])+1,6)))&gt;1,MID(Errorlog_table[[#This Row],[Description]],FIND(":",Errorlog_table[[#This Row],[Description]])+1,6),"")</f>
        <v>119428</v>
      </c>
      <c r="K115" s="419">
        <v>15.75</v>
      </c>
      <c r="L115" s="221" t="s">
        <v>124</v>
      </c>
      <c r="M115" s="287">
        <v>53128749</v>
      </c>
      <c r="N115" s="287" t="s">
        <v>574</v>
      </c>
      <c r="O115" s="281" t="str">
        <f t="shared" si="6"/>
        <v>P885598</v>
      </c>
      <c r="P115" s="287">
        <f>LEN(Errorlog_table[[#This Row],[AIR]])</f>
        <v>7</v>
      </c>
      <c r="Q115" s="37" cm="1">
        <f t="array" ref="Q115">IF(OR(Errorlog_table[[#This Row],[AIR]]="n/a",Errorlog_table[[#This Row],[Event_code]]="Y"),"n/a",IF(Errorlog_table[[#This Row],[AIR]]="","no AIR",_xlfn.XLOOKUP(Errorlog_table[[#This Row],[AIR]],AIR_dump[[#All],[Number]],AIR_dump[[#All],[Type]],"not found",0,1)))</f>
        <v>0</v>
      </c>
      <c r="R115" s="420" t="str" cm="1">
        <f t="array" ref="R115">IF(OR(Errorlog_table[[#This Row],[AIR]]="n/a",Errorlog_table[[#This Row],[Event_code]]="Y"),"n/a",IF(Errorlog_table[[#This Row],[AIR]]="","no AIR",_xlfn.XLOOKUP(Errorlog_table[[#This Row],[AIR]],AIR_dump[[#All],[Number]],AIR_dump[[#All],[Summary]],"not found",0,1)))</f>
        <v>[FDQ PDU] FDQ 4 channel module failure/error leads to long down time</v>
      </c>
      <c r="S115" s="385" t="s">
        <v>575</v>
      </c>
      <c r="T115" s="385">
        <f>Errorlog_table[[#This Row],[Year_Week_Number]]</f>
        <v>202518</v>
      </c>
      <c r="U115" s="421" t="s">
        <v>230</v>
      </c>
      <c r="V115" s="421" t="s">
        <v>230</v>
      </c>
      <c r="W115" s="421" t="str">
        <f>Errorlog_table[[#This Row],[System]]</f>
        <v>CR51</v>
      </c>
      <c r="X115" s="385" t="str">
        <f>Errorlog_table[[#This Row],[link]]</f>
        <v>P885598</v>
      </c>
      <c r="Y115" s="287" t="str">
        <f>Errorlog_table[[#This Row],[Root_Error]]</f>
        <v>PL-7005</v>
      </c>
      <c r="Z115" s="287" t="str">
        <f>Errorlog_table[[#This Row],[Description]]</f>
        <v>EpmID:119428| SCN - lot aborted by SRC error+HSD Lot Abort+Daily MX | PL-7005 |</v>
      </c>
      <c r="AA115" s="287" t="str">
        <f t="shared" si="5"/>
        <v>XLD</v>
      </c>
      <c r="AB115" s="415">
        <f ca="1">_xlfn.ISOWEEKNUM(Errorlog_table[[#This Row],[Date]])+52*(Errorlog_table[[#This Row],[Year]]-YEAR(DATE(YEAR(TODAY()-WEEKDAY(TODAY()-1)+4),1,1)-MOD((DATE(YEAR(TODAY()-WEEKDAY(TODAY()-1)+4),1,1)-2),7)+(7*IF(MOD((DATE(YEAR(TODAY()-WEEKDAY(TODAY()-1)+4),1,1)-2),7)&gt;3,1,0))+7) )-_xlfn.ISOWEEKNUM(NOW())</f>
        <v>-19</v>
      </c>
      <c r="AC115" s="287">
        <f>COUNTIF(MTBF_pareto[AIR],Errorlog_table[[#This Row],[AIR]])</f>
        <v>0</v>
      </c>
      <c r="AD115" s="306" t="str">
        <f>TEXT(Errorlog_table[[#This Row],[Date]],"yyyy-mm-dd")&amp;"_"&amp;TEXT(Errorlog_table[[#This Row],[SDT_Timestamp]],"HH:MM:SS")&amp;"_"&amp;Errorlog_table[[#This Row],[System]]</f>
        <v>2025-05-01_10:55:00_CR51</v>
      </c>
      <c r="AE115" s="287" t="str">
        <f>Errorlog_table[[#This Row],[P_Hits]]</f>
        <v>Y</v>
      </c>
      <c r="AF115" s="287">
        <v>0</v>
      </c>
    </row>
    <row r="116" spans="1:32" ht="15">
      <c r="A116" s="414" t="s">
        <v>7</v>
      </c>
      <c r="B116" s="287" t="str">
        <f>VLOOKUP(A116,'5000_Fleet'!A:D,2,FALSE)</f>
        <v>Intel</v>
      </c>
      <c r="C116" s="220" t="s">
        <v>576</v>
      </c>
      <c r="D116" s="220">
        <f>YEAR(DATE(YEAR(Errorlog_table[[#This Row],[Date]]-WEEKDAY(Errorlog_table[[#This Row],[Date]]-1)+4),1,1)-MOD((DATE(YEAR(Errorlog_table[[#This Row],[Date]]-WEEKDAY(Errorlog_table[[#This Row],[Date]]-1)+4),1,1)-2),7)+(7*IF(MOD((DATE(YEAR(Errorlog_table[[#This Row],[Date]]-WEEKDAY(Errorlog_table[[#This Row],[Date]]-1)+4),1,1)-2),7)&gt;3,1,0))+7)</f>
        <v>2025</v>
      </c>
      <c r="E116" s="415">
        <f>VALUE(TEXT(_xlfn.ISOWEEKNUM(Errorlog_table[[#This Row],[Date]]),"00"))</f>
        <v>18</v>
      </c>
      <c r="F116" s="416">
        <f>VALUE((Errorlog_table[[#This Row],[Year]])&amp;TEXT(Errorlog_table[[#This Row],[Week_Number]],"00"))</f>
        <v>202518</v>
      </c>
      <c r="G116" s="417">
        <v>45778</v>
      </c>
      <c r="H116" s="418" t="s">
        <v>577</v>
      </c>
      <c r="I116" s="437" t="s">
        <v>578</v>
      </c>
      <c r="J116" s="385" t="str">
        <f>IF(LEN(VALUE(MID(Errorlog_table[[#This Row],[Description]],FIND(":",Errorlog_table[[#This Row],[Description]])+1,6)))&gt;1,MID(Errorlog_table[[#This Row],[Description]],FIND(":",Errorlog_table[[#This Row],[Description]])+1,6),"")</f>
        <v>119408</v>
      </c>
      <c r="K116" s="419">
        <v>0.25</v>
      </c>
      <c r="L116" s="221"/>
      <c r="M116" s="287">
        <v>0</v>
      </c>
      <c r="N116" s="287" t="s">
        <v>402</v>
      </c>
      <c r="O116" s="281" t="str">
        <f t="shared" si="6"/>
        <v>P823264</v>
      </c>
      <c r="P116" s="287">
        <f>LEN(Errorlog_table[[#This Row],[AIR]])</f>
        <v>7</v>
      </c>
      <c r="Q116" s="37" cm="1">
        <f t="array" ref="Q116">IF(OR(Errorlog_table[[#This Row],[AIR]]="n/a",Errorlog_table[[#This Row],[Event_code]]="Y"),"n/a",IF(Errorlog_table[[#This Row],[AIR]]="","no AIR",_xlfn.XLOOKUP(Errorlog_table[[#This Row],[AIR]],AIR_dump[[#All],[Number]],AIR_dump[[#All],[Type]],"not found",0,1)))</f>
        <v>0</v>
      </c>
      <c r="R116" s="420" t="str" cm="1">
        <f t="array" ref="R116">IF(OR(Errorlog_table[[#This Row],[AIR]]="n/a",Errorlog_table[[#This Row],[Event_code]]="Y"),"n/a",IF(Errorlog_table[[#This Row],[AIR]]="","no AIR",_xlfn.XLOOKUP(Errorlog_table[[#This Row],[AIR]],AIR_dump[[#All],[Number]],AIR_dump[[#All],[Summary]],"not found",0,1)))</f>
        <v>Reticle Inventory fails due to 2DBCR cannot read barcode</v>
      </c>
      <c r="S116" s="385" t="str" cm="1">
        <f t="array" ref="S116">_xlfn.XLOOKUP(Errorlog_table[[#This Row],[AIR]],AIR_dump[[#All],[Number]],AIR_dump[[#All],[Close notes]])</f>
        <v>Working on diagnostic patch to continue RCA</v>
      </c>
      <c r="T116" s="385">
        <f>Errorlog_table[[#This Row],[Year_Week_Number]]</f>
        <v>202518</v>
      </c>
      <c r="U116" s="421" t="s">
        <v>239</v>
      </c>
      <c r="V116" s="421" t="s">
        <v>230</v>
      </c>
      <c r="W116" s="421" t="str">
        <f>Errorlog_table[[#This Row],[System]]</f>
        <v>GY86</v>
      </c>
      <c r="X116" s="385" t="str">
        <f>Errorlog_table[[#This Row],[link]]</f>
        <v>P823264</v>
      </c>
      <c r="Y116" s="287" t="str">
        <f>Errorlog_table[[#This Row],[Root_Error]]</f>
        <v>RH-C1E0</v>
      </c>
      <c r="Z116" s="287" t="str">
        <f>Errorlog_table[[#This Row],[Description]]</f>
        <v>EpmID:119408| SCN - FOXY Not able to scan in 2DBC | RH-C1E0 |</v>
      </c>
      <c r="AA116" s="287" t="str">
        <f t="shared" si="5"/>
        <v>Short down</v>
      </c>
      <c r="AB116" s="415">
        <f ca="1">_xlfn.ISOWEEKNUM(Errorlog_table[[#This Row],[Date]])+52*(Errorlog_table[[#This Row],[Year]]-YEAR(DATE(YEAR(TODAY()-WEEKDAY(TODAY()-1)+4),1,1)-MOD((DATE(YEAR(TODAY()-WEEKDAY(TODAY()-1)+4),1,1)-2),7)+(7*IF(MOD((DATE(YEAR(TODAY()-WEEKDAY(TODAY()-1)+4),1,1)-2),7)&gt;3,1,0))+7) )-_xlfn.ISOWEEKNUM(NOW())</f>
        <v>-19</v>
      </c>
      <c r="AC116" s="287">
        <f>COUNTIF(MTBF_pareto[AIR],Errorlog_table[[#This Row],[AIR]])</f>
        <v>0</v>
      </c>
      <c r="AD116" s="306" t="str">
        <f>TEXT(Errorlog_table[[#This Row],[Date]],"yyyy-mm-dd")&amp;"_"&amp;TEXT(Errorlog_table[[#This Row],[SDT_Timestamp]],"HH:MM:SS")&amp;"_"&amp;Errorlog_table[[#This Row],[System]]</f>
        <v>2025-05-01_07:59:00_GY86</v>
      </c>
      <c r="AE116" s="287" t="str">
        <f>Errorlog_table[[#This Row],[P_Hits]]</f>
        <v>N</v>
      </c>
      <c r="AF116" s="287">
        <v>0</v>
      </c>
    </row>
    <row r="117" spans="1:32" ht="28.5">
      <c r="A117" s="287" t="s">
        <v>4</v>
      </c>
      <c r="B117" s="287" t="str">
        <f>VLOOKUP(A117,'5000_Fleet'!A:D,2,FALSE)</f>
        <v>Intel</v>
      </c>
      <c r="C117" s="287" t="s">
        <v>579</v>
      </c>
      <c r="D117" s="287">
        <f>YEAR(DATE(YEAR(Errorlog_table[[#This Row],[Date]]-WEEKDAY(Errorlog_table[[#This Row],[Date]]-1)+4),1,1)-MOD((DATE(YEAR(Errorlog_table[[#This Row],[Date]]-WEEKDAY(Errorlog_table[[#This Row],[Date]]-1)+4),1,1)-2),7)+(7*IF(MOD((DATE(YEAR(Errorlog_table[[#This Row],[Date]]-WEEKDAY(Errorlog_table[[#This Row],[Date]]-1)+4),1,1)-2),7)&gt;3,1,0))+7)</f>
        <v>2025</v>
      </c>
      <c r="E117" s="415">
        <f>VALUE(TEXT(_xlfn.ISOWEEKNUM(Errorlog_table[[#This Row],[Date]]),"00"))</f>
        <v>19</v>
      </c>
      <c r="F117" s="416">
        <f>VALUE((Errorlog_table[[#This Row],[Year]])&amp;TEXT(Errorlog_table[[#This Row],[Week_Number]],"00"))</f>
        <v>202519</v>
      </c>
      <c r="G117" s="389">
        <v>45787</v>
      </c>
      <c r="H117" s="422">
        <v>0.23125000000000001</v>
      </c>
      <c r="I117" s="438" t="s">
        <v>580</v>
      </c>
      <c r="J117" s="385" t="str">
        <f>IF(LEN(VALUE(MID(Errorlog_table[[#This Row],[Description]],FIND(":",Errorlog_table[[#This Row],[Description]])+1,6)))&gt;1,MID(Errorlog_table[[#This Row],[Description]],FIND(":",Errorlog_table[[#This Row],[Description]])+1,6),"")</f>
        <v>120204</v>
      </c>
      <c r="K117" s="296">
        <v>5</v>
      </c>
      <c r="L117" s="423" t="s">
        <v>581</v>
      </c>
      <c r="M117" s="287">
        <v>53136082</v>
      </c>
      <c r="N117" s="287" t="s">
        <v>582</v>
      </c>
      <c r="O117" s="281" t="str">
        <f t="shared" si="6"/>
        <v>P884438</v>
      </c>
      <c r="P117" s="287">
        <f>LEN(Errorlog_table[[#This Row],[AIR]])</f>
        <v>7</v>
      </c>
      <c r="Q117" s="37" t="str" cm="1">
        <f t="array" ref="Q117">IF(OR(Errorlog_table[[#This Row],[AIR]]="n/a",Errorlog_table[[#This Row],[Event_code]]="Y"),"n/a",IF(Errorlog_table[[#This Row],[AIR]]="","no AIR",_xlfn.XLOOKUP(Errorlog_table[[#This Row],[AIR]],AIR_dump[[#All],[Number]],AIR_dump[[#All],[Type]],"not found",0,1)))</f>
        <v>not found</v>
      </c>
      <c r="R117" s="420" t="s">
        <v>580</v>
      </c>
      <c r="S117" s="385" t="e" cm="1">
        <f t="array" ref="S117">_xlfn.XLOOKUP(Errorlog_table[[#This Row],[AIR]],AIR_dump[[#All],[Number]],AIR_dump[[#All],[Close notes]])</f>
        <v>#N/A</v>
      </c>
      <c r="T117" s="385">
        <f>Errorlog_table[[#This Row],[Year_Week_Number]]</f>
        <v>202519</v>
      </c>
      <c r="U117" s="421" t="s">
        <v>239</v>
      </c>
      <c r="V117" s="421" t="s">
        <v>230</v>
      </c>
      <c r="W117" s="421" t="str">
        <f>Errorlog_table[[#This Row],[System]]</f>
        <v>CR51</v>
      </c>
      <c r="X117" s="385" t="str">
        <f>Errorlog_table[[#This Row],[link]]</f>
        <v>P884438</v>
      </c>
      <c r="Y117" s="287" t="str">
        <f>Errorlog_table[[#This Row],[Root_Error]]</f>
        <v>CN-0067</v>
      </c>
      <c r="Z117" s="287" t="str">
        <f>Errorlog_table[[#This Row],[Description]]</f>
        <v xml:space="preserve">EpmID:120204| SCN - MLETs failed to start+POB Mighty Setup | CN-0067 | </v>
      </c>
      <c r="AA117" s="287" t="str">
        <f t="shared" si="5"/>
        <v>Short down</v>
      </c>
      <c r="AB117" s="415">
        <f ca="1">_xlfn.ISOWEEKNUM(Errorlog_table[[#This Row],[Date]])+52*(Errorlog_table[[#This Row],[Year]]-YEAR(DATE(YEAR(TODAY()-WEEKDAY(TODAY()-1)+4),1,1)-MOD((DATE(YEAR(TODAY()-WEEKDAY(TODAY()-1)+4),1,1)-2),7)+(7*IF(MOD((DATE(YEAR(TODAY()-WEEKDAY(TODAY()-1)+4),1,1)-2),7)&gt;3,1,0))+7) )-_xlfn.ISOWEEKNUM(NOW())</f>
        <v>-18</v>
      </c>
      <c r="AC117" s="287">
        <f>COUNTIF(MTBF_pareto[AIR],Errorlog_table[[#This Row],[AIR]])</f>
        <v>0</v>
      </c>
      <c r="AD117" s="306" t="str">
        <f>TEXT(Errorlog_table[[#This Row],[Date]],"yyyy-mm-dd")&amp;"_"&amp;TEXT(Errorlog_table[[#This Row],[SDT_Timestamp]],"HH:MM:SS")&amp;"_"&amp;Errorlog_table[[#This Row],[System]]</f>
        <v>2025-05-10_05:33:00_CR51</v>
      </c>
      <c r="AE117" s="287" t="str">
        <f>Errorlog_table[[#This Row],[P_Hits]]</f>
        <v>N</v>
      </c>
      <c r="AF117" s="287">
        <v>0</v>
      </c>
    </row>
    <row r="118" spans="1:32" ht="28.5">
      <c r="A118" s="287" t="s">
        <v>4</v>
      </c>
      <c r="B118" s="287" t="str">
        <f>VLOOKUP(A118,'5000_Fleet'!A:D,2,FALSE)</f>
        <v>Intel</v>
      </c>
      <c r="C118" s="287" t="s">
        <v>583</v>
      </c>
      <c r="D118" s="287">
        <f>YEAR(DATE(YEAR(Errorlog_table[[#This Row],[Date]]-WEEKDAY(Errorlog_table[[#This Row],[Date]]-1)+4),1,1)-MOD((DATE(YEAR(Errorlog_table[[#This Row],[Date]]-WEEKDAY(Errorlog_table[[#This Row],[Date]]-1)+4),1,1)-2),7)+(7*IF(MOD((DATE(YEAR(Errorlog_table[[#This Row],[Date]]-WEEKDAY(Errorlog_table[[#This Row],[Date]]-1)+4),1,1)-2),7)&gt;3,1,0))+7)</f>
        <v>2025</v>
      </c>
      <c r="E118" s="415">
        <f>VALUE(TEXT(_xlfn.ISOWEEKNUM(Errorlog_table[[#This Row],[Date]]),"00"))</f>
        <v>19</v>
      </c>
      <c r="F118" s="416">
        <f>VALUE((Errorlog_table[[#This Row],[Year]])&amp;TEXT(Errorlog_table[[#This Row],[Week_Number]],"00"))</f>
        <v>202519</v>
      </c>
      <c r="G118" s="389">
        <v>45788</v>
      </c>
      <c r="H118" s="424">
        <v>0.68402777777777779</v>
      </c>
      <c r="I118" s="438" t="s">
        <v>584</v>
      </c>
      <c r="J118" s="385" t="str">
        <f>IF(LEN(VALUE(MID(Errorlog_table[[#This Row],[Description]],FIND(":",Errorlog_table[[#This Row],[Description]])+1,6)))&gt;1,MID(Errorlog_table[[#This Row],[Description]],FIND(":",Errorlog_table[[#This Row],[Description]])+1,6),"")</f>
        <v>120211</v>
      </c>
      <c r="K118" s="296">
        <v>15.77</v>
      </c>
      <c r="L118" s="423" t="s">
        <v>234</v>
      </c>
      <c r="M118" s="287">
        <v>53136685</v>
      </c>
      <c r="N118" s="287" t="s">
        <v>585</v>
      </c>
      <c r="O118" s="281" t="str">
        <f t="shared" si="6"/>
        <v>P885744</v>
      </c>
      <c r="P118" s="287">
        <f>LEN(Errorlog_table[[#This Row],[AIR]])</f>
        <v>7</v>
      </c>
      <c r="Q118" s="37" cm="1">
        <f t="array" ref="Q118">IF(OR(Errorlog_table[[#This Row],[AIR]]="n/a",Errorlog_table[[#This Row],[Event_code]]="Y"),"n/a",IF(Errorlog_table[[#This Row],[AIR]]="","no AIR",_xlfn.XLOOKUP(Errorlog_table[[#This Row],[AIR]],AIR_dump[[#All],[Number]],AIR_dump[[#All],[Type]],"not found",0,1)))</f>
        <v>0</v>
      </c>
      <c r="R118" s="420" t="s">
        <v>584</v>
      </c>
      <c r="S118" s="385" t="str" cm="1">
        <f t="array" ref="S118">_xlfn.XLOOKUP(Errorlog_table[[#This Row],[AIR]],AIR_dump[[#All],[Number]],AIR_dump[[#All],[Close notes]])</f>
        <v>Monitoring  XER logs, request local team provide master panel screenshot and try</v>
      </c>
      <c r="T118" s="385">
        <f>Errorlog_table[[#This Row],[Year_Week_Number]]</f>
        <v>202519</v>
      </c>
      <c r="U118" s="421" t="s">
        <v>230</v>
      </c>
      <c r="V118" s="421" t="s">
        <v>230</v>
      </c>
      <c r="W118" s="421" t="str">
        <f>Errorlog_table[[#This Row],[System]]</f>
        <v>CR51</v>
      </c>
      <c r="X118" s="385" t="str">
        <f>Errorlog_table[[#This Row],[link]]</f>
        <v>P885744</v>
      </c>
      <c r="Y118" s="287" t="str">
        <f>Errorlog_table[[#This Row],[Root_Error]]</f>
        <v>LSH-00AC</v>
      </c>
      <c r="Z118" s="287" t="str">
        <f>Errorlog_table[[#This Row],[Description]]</f>
        <v xml:space="preserve">EpmID:120211| SRC - lot abort LSH-00AC | LSH-00AC | </v>
      </c>
      <c r="AA118" s="287" t="str">
        <f t="shared" si="5"/>
        <v>XLD</v>
      </c>
      <c r="AB118" s="415">
        <f ca="1">_xlfn.ISOWEEKNUM(Errorlog_table[[#This Row],[Date]])+52*(Errorlog_table[[#This Row],[Year]]-YEAR(DATE(YEAR(TODAY()-WEEKDAY(TODAY()-1)+4),1,1)-MOD((DATE(YEAR(TODAY()-WEEKDAY(TODAY()-1)+4),1,1)-2),7)+(7*IF(MOD((DATE(YEAR(TODAY()-WEEKDAY(TODAY()-1)+4),1,1)-2),7)&gt;3,1,0))+7) )-_xlfn.ISOWEEKNUM(NOW())</f>
        <v>-18</v>
      </c>
      <c r="AC118" s="287">
        <f>COUNTIF(MTBF_pareto[AIR],Errorlog_table[[#This Row],[AIR]])</f>
        <v>0</v>
      </c>
      <c r="AD118" s="306" t="str">
        <f>TEXT(Errorlog_table[[#This Row],[Date]],"yyyy-mm-dd")&amp;"_"&amp;TEXT(Errorlog_table[[#This Row],[SDT_Timestamp]],"HH:MM:SS")&amp;"_"&amp;Errorlog_table[[#This Row],[System]]</f>
        <v>2025-05-11_16:25:00_CR51</v>
      </c>
      <c r="AE118" s="287" t="str">
        <f>Errorlog_table[[#This Row],[P_Hits]]</f>
        <v>Y</v>
      </c>
      <c r="AF118" s="287">
        <v>0</v>
      </c>
    </row>
    <row r="119" spans="1:32" ht="15">
      <c r="A119" s="423" t="s">
        <v>7</v>
      </c>
      <c r="B119" s="287" t="str">
        <f>VLOOKUP(A119,'5000_Fleet'!A:D,2,FALSE)</f>
        <v>Intel</v>
      </c>
      <c r="C119" s="287" t="s">
        <v>186</v>
      </c>
      <c r="D119" s="287">
        <f>YEAR(DATE(YEAR(Errorlog_table[[#This Row],[Date]]-WEEKDAY(Errorlog_table[[#This Row],[Date]]-1)+4),1,1)-MOD((DATE(YEAR(Errorlog_table[[#This Row],[Date]]-WEEKDAY(Errorlog_table[[#This Row],[Date]]-1)+4),1,1)-2),7)+(7*IF(MOD((DATE(YEAR(Errorlog_table[[#This Row],[Date]]-WEEKDAY(Errorlog_table[[#This Row],[Date]]-1)+4),1,1)-2),7)&gt;3,1,0))+7)</f>
        <v>2025</v>
      </c>
      <c r="E119" s="415">
        <f>VALUE(TEXT(_xlfn.ISOWEEKNUM(Errorlog_table[[#This Row],[Date]]),"00"))</f>
        <v>20</v>
      </c>
      <c r="F119" s="416">
        <f>VALUE((Errorlog_table[[#This Row],[Year]])&amp;TEXT(Errorlog_table[[#This Row],[Week_Number]],"00"))</f>
        <v>202520</v>
      </c>
      <c r="G119" s="389">
        <v>45790</v>
      </c>
      <c r="H119" s="424">
        <v>0.46944444444444444</v>
      </c>
      <c r="I119" s="458" t="s">
        <v>586</v>
      </c>
      <c r="J119" s="385" t="str">
        <f>IF(LEN(VALUE(MID(Errorlog_table[[#This Row],[Description]],FIND(":",Errorlog_table[[#This Row],[Description]])+1,6)))&gt;1,MID(Errorlog_table[[#This Row],[Description]],FIND(":",Errorlog_table[[#This Row],[Description]])+1,6),"")</f>
        <v>120748</v>
      </c>
      <c r="K119" s="296">
        <v>2.97</v>
      </c>
      <c r="L119" s="423" t="s">
        <v>476</v>
      </c>
      <c r="M119" s="287">
        <v>53138964</v>
      </c>
      <c r="N119" s="287" t="s">
        <v>477</v>
      </c>
      <c r="O119" s="281" t="str">
        <f t="shared" si="6"/>
        <v>P867917</v>
      </c>
      <c r="P119" s="287">
        <f>LEN(Errorlog_table[[#This Row],[AIR]])</f>
        <v>7</v>
      </c>
      <c r="Q119" s="37" cm="1">
        <f t="array" ref="Q119">IF(OR(Errorlog_table[[#This Row],[AIR]]="n/a",Errorlog_table[[#This Row],[Event_code]]="Y"),"n/a",IF(Errorlog_table[[#This Row],[AIR]]="","no AIR",_xlfn.XLOOKUP(Errorlog_table[[#This Row],[AIR]],AIR_dump[[#All],[Number]],AIR_dump[[#All],[Type]],"not found",0,1)))</f>
        <v>0</v>
      </c>
      <c r="R119" s="420" t="s">
        <v>587</v>
      </c>
      <c r="S119" s="385" t="s">
        <v>588</v>
      </c>
      <c r="T119" s="385">
        <f>Errorlog_table[[#This Row],[Year_Week_Number]]</f>
        <v>202520</v>
      </c>
      <c r="U119" s="421" t="s">
        <v>230</v>
      </c>
      <c r="V119" s="421" t="s">
        <v>230</v>
      </c>
      <c r="W119" s="421" t="str">
        <f>Errorlog_table[[#This Row],[System]]</f>
        <v>GY86</v>
      </c>
      <c r="X119" s="385" t="str">
        <f>Errorlog_table[[#This Row],[link]]</f>
        <v>P867917</v>
      </c>
      <c r="Y119" s="287" t="str">
        <f>Errorlog_table[[#This Row],[Root_Error]]</f>
        <v>CN-0001</v>
      </c>
      <c r="Z119" s="287" t="str">
        <f>Errorlog_table[[#This Row],[Description]]</f>
        <v xml:space="preserve">EpmID:120748| SCN - lot abort on CN-0001 | CN-0001 | </v>
      </c>
      <c r="AA119" s="287" t="str">
        <f t="shared" si="5"/>
        <v>Short down</v>
      </c>
      <c r="AB119" s="415">
        <f ca="1">_xlfn.ISOWEEKNUM(Errorlog_table[[#This Row],[Date]])+52*(Errorlog_table[[#This Row],[Year]]-YEAR(DATE(YEAR(TODAY()-WEEKDAY(TODAY()-1)+4),1,1)-MOD((DATE(YEAR(TODAY()-WEEKDAY(TODAY()-1)+4),1,1)-2),7)+(7*IF(MOD((DATE(YEAR(TODAY()-WEEKDAY(TODAY()-1)+4),1,1)-2),7)&gt;3,1,0))+7) )-_xlfn.ISOWEEKNUM(NOW())</f>
        <v>-17</v>
      </c>
      <c r="AC119" s="287">
        <f>COUNTIF(MTBF_pareto[AIR],Errorlog_table[[#This Row],[AIR]])</f>
        <v>0</v>
      </c>
      <c r="AD119" s="306" t="str">
        <f>TEXT(Errorlog_table[[#This Row],[Date]],"yyyy-mm-dd")&amp;"_"&amp;TEXT(Errorlog_table[[#This Row],[SDT_Timestamp]],"HH:MM:SS")&amp;"_"&amp;Errorlog_table[[#This Row],[System]]</f>
        <v>2025-05-13_11:16:00_GY86</v>
      </c>
      <c r="AE119" s="287" t="str">
        <f>Errorlog_table[[#This Row],[P_Hits]]</f>
        <v>Y</v>
      </c>
      <c r="AF119" s="287">
        <v>0</v>
      </c>
    </row>
    <row r="120" spans="1:32" ht="15">
      <c r="A120" s="423" t="s">
        <v>7</v>
      </c>
      <c r="B120" s="287" t="str">
        <f>VLOOKUP(A120,'5000_Fleet'!A:D,2,FALSE)</f>
        <v>Intel</v>
      </c>
      <c r="C120" s="287" t="s">
        <v>589</v>
      </c>
      <c r="D120" s="287">
        <f>YEAR(DATE(YEAR(Errorlog_table[[#This Row],[Date]]-WEEKDAY(Errorlog_table[[#This Row],[Date]]-1)+4),1,1)-MOD((DATE(YEAR(Errorlog_table[[#This Row],[Date]]-WEEKDAY(Errorlog_table[[#This Row],[Date]]-1)+4),1,1)-2),7)+(7*IF(MOD((DATE(YEAR(Errorlog_table[[#This Row],[Date]]-WEEKDAY(Errorlog_table[[#This Row],[Date]]-1)+4),1,1)-2),7)&gt;3,1,0))+7)</f>
        <v>2025</v>
      </c>
      <c r="E120" s="415">
        <f>VALUE(TEXT(_xlfn.ISOWEEKNUM(Errorlog_table[[#This Row],[Date]]),"00"))</f>
        <v>20</v>
      </c>
      <c r="F120" s="416">
        <f>VALUE((Errorlog_table[[#This Row],[Year]])&amp;TEXT(Errorlog_table[[#This Row],[Week_Number]],"00"))</f>
        <v>202520</v>
      </c>
      <c r="G120" s="389">
        <v>45790</v>
      </c>
      <c r="H120" s="424">
        <v>0.8833333333333333</v>
      </c>
      <c r="I120" s="458" t="s">
        <v>590</v>
      </c>
      <c r="J120" s="385" t="str">
        <f>IF(LEN(VALUE(MID(Errorlog_table[[#This Row],[Description]],FIND(":",Errorlog_table[[#This Row],[Description]])+1,6)))&gt;1,MID(Errorlog_table[[#This Row],[Description]],FIND(":",Errorlog_table[[#This Row],[Description]])+1,6),"")</f>
        <v>120751</v>
      </c>
      <c r="K120" s="296">
        <v>4.2300000000000004</v>
      </c>
      <c r="L120" s="423" t="s">
        <v>126</v>
      </c>
      <c r="M120" s="287">
        <v>53139381</v>
      </c>
      <c r="N120" s="425" t="s">
        <v>591</v>
      </c>
      <c r="O120" s="281" t="str">
        <f t="shared" si="6"/>
        <v>P885590</v>
      </c>
      <c r="P120" s="287">
        <f>LEN(Errorlog_table[[#This Row],[AIR]])</f>
        <v>7</v>
      </c>
      <c r="Q120" s="37" cm="1">
        <f t="array" ref="Q120">IF(OR(Errorlog_table[[#This Row],[AIR]]="n/a",Errorlog_table[[#This Row],[Event_code]]="Y"),"n/a",IF(Errorlog_table[[#This Row],[AIR]]="","no AIR",_xlfn.XLOOKUP(Errorlog_table[[#This Row],[AIR]],AIR_dump[[#All],[Number]],AIR_dump[[#All],[Type]],"not found",0,1)))</f>
        <v>0</v>
      </c>
      <c r="R120" s="420" t="str" cm="1">
        <f t="array" ref="R120">IF(OR(Errorlog_table[[#This Row],[AIR]]="n/a",Errorlog_table[[#This Row],[Event_code]]="Y"),"n/a",IF(Errorlog_table[[#This Row],[AIR]]="","no AIR",_xlfn.XLOOKUP(Errorlog_table[[#This Row],[AIR]],AIR_dump[[#All],[Number]],AIR_dump[[#All],[Summary]],"not found",0,1)))</f>
        <v>Large ER_Event_log pollution due to PG-5271, PG-5270, PG-</v>
      </c>
      <c r="S120" s="385" t="str" cm="1">
        <f t="array" ref="S120">_xlfn.XLOOKUP(Errorlog_table[[#This Row],[AIR]],AIR_dump[[#All],[Number]],AIR_dump[[#All],[Close notes]])</f>
        <v>SP 23 fix</v>
      </c>
      <c r="T120" s="385">
        <f>Errorlog_table[[#This Row],[Year_Week_Number]]</f>
        <v>202520</v>
      </c>
      <c r="U120" s="421" t="s">
        <v>230</v>
      </c>
      <c r="V120" s="421" t="s">
        <v>230</v>
      </c>
      <c r="W120" s="421" t="str">
        <f>Errorlog_table[[#This Row],[System]]</f>
        <v>GY86</v>
      </c>
      <c r="X120" s="385" t="str">
        <f>Errorlog_table[[#This Row],[link]]</f>
        <v>P885590</v>
      </c>
      <c r="Y120" s="287" t="str">
        <f>Errorlog_table[[#This Row],[Root_Error]]</f>
        <v>CG-A309</v>
      </c>
      <c r="Z120" s="287" t="str">
        <f>Errorlog_table[[#This Row],[Description]]</f>
        <v xml:space="preserve">EpmID:120751| SCN - Lot Abort CG-A309 | CG-A309 | </v>
      </c>
      <c r="AA120" s="287" t="str">
        <f t="shared" si="5"/>
        <v>Short down</v>
      </c>
      <c r="AB120" s="415">
        <f ca="1">_xlfn.ISOWEEKNUM(Errorlog_table[[#This Row],[Date]])+52*(Errorlog_table[[#This Row],[Year]]-YEAR(DATE(YEAR(TODAY()-WEEKDAY(TODAY()-1)+4),1,1)-MOD((DATE(YEAR(TODAY()-WEEKDAY(TODAY()-1)+4),1,1)-2),7)+(7*IF(MOD((DATE(YEAR(TODAY()-WEEKDAY(TODAY()-1)+4),1,1)-2),7)&gt;3,1,0))+7) )-_xlfn.ISOWEEKNUM(NOW())</f>
        <v>-17</v>
      </c>
      <c r="AC120" s="287">
        <f>COUNTIF(MTBF_pareto[AIR],Errorlog_table[[#This Row],[AIR]])</f>
        <v>0</v>
      </c>
      <c r="AD120" s="306" t="str">
        <f>TEXT(Errorlog_table[[#This Row],[Date]],"yyyy-mm-dd")&amp;"_"&amp;TEXT(Errorlog_table[[#This Row],[SDT_Timestamp]],"HH:MM:SS")&amp;"_"&amp;Errorlog_table[[#This Row],[System]]</f>
        <v>2025-05-13_21:12:00_GY86</v>
      </c>
      <c r="AE120" s="287" t="str">
        <f>Errorlog_table[[#This Row],[P_Hits]]</f>
        <v>Y</v>
      </c>
      <c r="AF120" s="287">
        <v>0</v>
      </c>
    </row>
    <row r="121" spans="1:32" ht="28.5">
      <c r="A121" s="423" t="s">
        <v>7</v>
      </c>
      <c r="B121" s="287" t="str">
        <f>VLOOKUP(A121,'5000_Fleet'!A:D,2,FALSE)</f>
        <v>Intel</v>
      </c>
      <c r="C121" s="287" t="s">
        <v>592</v>
      </c>
      <c r="D121" s="287">
        <f>YEAR(DATE(YEAR(Errorlog_table[[#This Row],[Date]]-WEEKDAY(Errorlog_table[[#This Row],[Date]]-1)+4),1,1)-MOD((DATE(YEAR(Errorlog_table[[#This Row],[Date]]-WEEKDAY(Errorlog_table[[#This Row],[Date]]-1)+4),1,1)-2),7)+(7*IF(MOD((DATE(YEAR(Errorlog_table[[#This Row],[Date]]-WEEKDAY(Errorlog_table[[#This Row],[Date]]-1)+4),1,1)-2),7)&gt;3,1,0))+7)</f>
        <v>2025</v>
      </c>
      <c r="E121" s="415">
        <f>VALUE(TEXT(_xlfn.ISOWEEKNUM(Errorlog_table[[#This Row],[Date]]),"00"))</f>
        <v>20</v>
      </c>
      <c r="F121" s="416">
        <f>VALUE((Errorlog_table[[#This Row],[Year]])&amp;TEXT(Errorlog_table[[#This Row],[Week_Number]],"00"))</f>
        <v>202520</v>
      </c>
      <c r="G121" s="389">
        <v>45791</v>
      </c>
      <c r="H121" s="424">
        <v>0.37777777777777777</v>
      </c>
      <c r="I121" s="458" t="s">
        <v>593</v>
      </c>
      <c r="J121" s="385" t="str">
        <f>IF(LEN(VALUE(MID(Errorlog_table[[#This Row],[Description]],FIND(":",Errorlog_table[[#This Row],[Description]])+1,6)))&gt;1,MID(Errorlog_table[[#This Row],[Description]],FIND(":",Errorlog_table[[#This Row],[Description]])+1,6),"")</f>
        <v>120786</v>
      </c>
      <c r="K121" s="296">
        <v>2.92</v>
      </c>
      <c r="L121" s="423" t="s">
        <v>126</v>
      </c>
      <c r="M121" s="287">
        <v>53140043</v>
      </c>
      <c r="N121" s="425" t="s">
        <v>591</v>
      </c>
      <c r="O121" s="281" t="str">
        <f t="shared" si="6"/>
        <v>P885590</v>
      </c>
      <c r="P121" s="287">
        <f>LEN(Errorlog_table[[#This Row],[AIR]])</f>
        <v>7</v>
      </c>
      <c r="Q121" s="37" cm="1">
        <f t="array" ref="Q121">IF(OR(Errorlog_table[[#This Row],[AIR]]="n/a",Errorlog_table[[#This Row],[Event_code]]="Y"),"n/a",IF(Errorlog_table[[#This Row],[AIR]]="","no AIR",_xlfn.XLOOKUP(Errorlog_table[[#This Row],[AIR]],AIR_dump[[#All],[Number]],AIR_dump[[#All],[Type]],"not found",0,1)))</f>
        <v>0</v>
      </c>
      <c r="R121" s="420" t="str" cm="1">
        <f t="array" ref="R121">IF(OR(Errorlog_table[[#This Row],[AIR]]="n/a",Errorlog_table[[#This Row],[Event_code]]="Y"),"n/a",IF(Errorlog_table[[#This Row],[AIR]]="","no AIR",_xlfn.XLOOKUP(Errorlog_table[[#This Row],[AIR]],AIR_dump[[#All],[Number]],AIR_dump[[#All],[Summary]],"not found",0,1)))</f>
        <v>Large ER_Event_log pollution due to PG-5271, PG-5270, PG-</v>
      </c>
      <c r="S121" s="385" t="str" cm="1">
        <f t="array" ref="S121">_xlfn.XLOOKUP(Errorlog_table[[#This Row],[AIR]],AIR_dump[[#All],[Number]],AIR_dump[[#All],[Close notes]])</f>
        <v>SP 23 fix</v>
      </c>
      <c r="T121" s="385">
        <f>Errorlog_table[[#This Row],[Year_Week_Number]]</f>
        <v>202520</v>
      </c>
      <c r="U121" s="421" t="s">
        <v>230</v>
      </c>
      <c r="V121" s="421" t="s">
        <v>230</v>
      </c>
      <c r="W121" s="421" t="str">
        <f>Errorlog_table[[#This Row],[System]]</f>
        <v>GY86</v>
      </c>
      <c r="X121" s="385" t="str">
        <f>Errorlog_table[[#This Row],[link]]</f>
        <v>P885590</v>
      </c>
      <c r="Y121" s="287" t="str">
        <f>Errorlog_table[[#This Row],[Root_Error]]</f>
        <v>PG-4B47</v>
      </c>
      <c r="Z121" s="287" t="str">
        <f>Errorlog_table[[#This Row],[Description]]</f>
        <v xml:space="preserve">EpmID:120786| SCN - Lot abort Unicom Error for PG-4B47 | PG-4B47 | </v>
      </c>
      <c r="AA121" s="287" t="str">
        <f t="shared" si="5"/>
        <v>Short down</v>
      </c>
      <c r="AB121" s="415">
        <f ca="1">_xlfn.ISOWEEKNUM(Errorlog_table[[#This Row],[Date]])+52*(Errorlog_table[[#This Row],[Year]]-YEAR(DATE(YEAR(TODAY()-WEEKDAY(TODAY()-1)+4),1,1)-MOD((DATE(YEAR(TODAY()-WEEKDAY(TODAY()-1)+4),1,1)-2),7)+(7*IF(MOD((DATE(YEAR(TODAY()-WEEKDAY(TODAY()-1)+4),1,1)-2),7)&gt;3,1,0))+7) )-_xlfn.ISOWEEKNUM(NOW())</f>
        <v>-17</v>
      </c>
      <c r="AC121" s="287">
        <f>COUNTIF(MTBF_pareto[AIR],Errorlog_table[[#This Row],[AIR]])</f>
        <v>0</v>
      </c>
      <c r="AD121" s="306" t="str">
        <f>TEXT(Errorlog_table[[#This Row],[Date]],"yyyy-mm-dd")&amp;"_"&amp;TEXT(Errorlog_table[[#This Row],[SDT_Timestamp]],"HH:MM:SS")&amp;"_"&amp;Errorlog_table[[#This Row],[System]]</f>
        <v>2025-05-14_09:04:00_GY86</v>
      </c>
      <c r="AE121" s="287" t="str">
        <f>Errorlog_table[[#This Row],[P_Hits]]</f>
        <v>Y</v>
      </c>
      <c r="AF121" s="287">
        <v>0</v>
      </c>
    </row>
    <row r="122" spans="1:32" ht="28.5">
      <c r="A122" s="423" t="s">
        <v>4</v>
      </c>
      <c r="B122" s="287" t="str">
        <f>VLOOKUP(A122,'5000_Fleet'!A:D,2,FALSE)</f>
        <v>Intel</v>
      </c>
      <c r="C122" s="287" t="s">
        <v>441</v>
      </c>
      <c r="D122" s="287">
        <f>YEAR(DATE(YEAR(Errorlog_table[[#This Row],[Date]]-WEEKDAY(Errorlog_table[[#This Row],[Date]]-1)+4),1,1)-MOD((DATE(YEAR(Errorlog_table[[#This Row],[Date]]-WEEKDAY(Errorlog_table[[#This Row],[Date]]-1)+4),1,1)-2),7)+(7*IF(MOD((DATE(YEAR(Errorlog_table[[#This Row],[Date]]-WEEKDAY(Errorlog_table[[#This Row],[Date]]-1)+4),1,1)-2),7)&gt;3,1,0))+7)</f>
        <v>2025</v>
      </c>
      <c r="E122" s="415">
        <f>VALUE(TEXT(_xlfn.ISOWEEKNUM(Errorlog_table[[#This Row],[Date]]),"00"))</f>
        <v>20</v>
      </c>
      <c r="F122" s="416">
        <f>VALUE((Errorlog_table[[#This Row],[Year]])&amp;TEXT(Errorlog_table[[#This Row],[Week_Number]],"00"))</f>
        <v>202520</v>
      </c>
      <c r="G122" s="389">
        <v>45795</v>
      </c>
      <c r="H122" s="424">
        <v>0.2013888888888889</v>
      </c>
      <c r="I122" s="458" t="s">
        <v>594</v>
      </c>
      <c r="J122" s="385" t="str">
        <f>IF(LEN(VALUE(MID(Errorlog_table[[#This Row],[Description]],FIND(":",Errorlog_table[[#This Row],[Description]])+1,6)))&gt;1,MID(Errorlog_table[[#This Row],[Description]],FIND(":",Errorlog_table[[#This Row],[Description]])+1,6),"")</f>
        <v>120857</v>
      </c>
      <c r="K122" s="296">
        <v>1.35</v>
      </c>
      <c r="L122" s="423" t="s">
        <v>595</v>
      </c>
      <c r="M122" s="287">
        <v>53142773</v>
      </c>
      <c r="N122" s="287" t="s">
        <v>444</v>
      </c>
      <c r="O122" s="281" t="str">
        <f t="shared" si="6"/>
        <v>P860660</v>
      </c>
      <c r="P122" s="287">
        <f>LEN(Errorlog_table[[#This Row],[AIR]])</f>
        <v>7</v>
      </c>
      <c r="Q122" s="37" cm="1">
        <f t="array" ref="Q122">IF(OR(Errorlog_table[[#This Row],[AIR]]="n/a",Errorlog_table[[#This Row],[Event_code]]="Y"),"n/a",IF(Errorlog_table[[#This Row],[AIR]]="","no AIR",_xlfn.XLOOKUP(Errorlog_table[[#This Row],[AIR]],AIR_dump[[#All],[Number]],AIR_dump[[#All],[Type]],"not found",0,1)))</f>
        <v>0</v>
      </c>
      <c r="R122" s="420" t="str" cm="1">
        <f t="array" ref="R122">IF(OR(Errorlog_table[[#This Row],[AIR]]="n/a",Errorlog_table[[#This Row],[Event_code]]="Y"),"n/a",IF(Errorlog_table[[#This Row],[AIR]]="","no AIR",_xlfn.XLOOKUP(Errorlog_table[[#This Row],[AIR]],AIR_dump[[#All],[Number]],AIR_dump[[#All],[Summary]],"not found",0,1)))</f>
        <v xml:space="preserve"> [CR51] Lot abort unload fail RU-1B22 after ARR</v>
      </c>
      <c r="S122" s="385" t="str" cm="1">
        <f t="array" ref="S122">_xlfn.XLOOKUP(Errorlog_table[[#This Row],[AIR]],AIR_dump[[#All],[Number]],AIR_dump[[#All],[Close notes]])</f>
        <v>Planned patch W19 to mitigate clamp charge</v>
      </c>
      <c r="T122" s="385">
        <f>Errorlog_table[[#This Row],[Year_Week_Number]]</f>
        <v>202520</v>
      </c>
      <c r="U122" s="421" t="s">
        <v>239</v>
      </c>
      <c r="V122" s="421" t="s">
        <v>230</v>
      </c>
      <c r="W122" s="421" t="str">
        <f>Errorlog_table[[#This Row],[System]]</f>
        <v>CR51</v>
      </c>
      <c r="X122" s="385" t="str">
        <f>Errorlog_table[[#This Row],[link]]</f>
        <v>P860660</v>
      </c>
      <c r="Y122" s="287" t="str">
        <f>Errorlog_table[[#This Row],[Root_Error]]</f>
        <v>RU-1B22</v>
      </c>
      <c r="Z122" s="287" t="str">
        <f>Errorlog_table[[#This Row],[Description]]</f>
        <v xml:space="preserve">EpmID:120857| SCN - error unloading reticle from stage RU-1B22 | RU-1B22 | </v>
      </c>
      <c r="AA122" s="287" t="str">
        <f t="shared" si="5"/>
        <v>Short down</v>
      </c>
      <c r="AB122" s="415">
        <f ca="1">_xlfn.ISOWEEKNUM(Errorlog_table[[#This Row],[Date]])+52*(Errorlog_table[[#This Row],[Year]]-YEAR(DATE(YEAR(TODAY()-WEEKDAY(TODAY()-1)+4),1,1)-MOD((DATE(YEAR(TODAY()-WEEKDAY(TODAY()-1)+4),1,1)-2),7)+(7*IF(MOD((DATE(YEAR(TODAY()-WEEKDAY(TODAY()-1)+4),1,1)-2),7)&gt;3,1,0))+7) )-_xlfn.ISOWEEKNUM(NOW())</f>
        <v>-17</v>
      </c>
      <c r="AC122" s="287">
        <f>COUNTIF(MTBF_pareto[AIR],Errorlog_table[[#This Row],[AIR]])</f>
        <v>0</v>
      </c>
      <c r="AD122" s="306" t="str">
        <f>TEXT(Errorlog_table[[#This Row],[Date]],"yyyy-mm-dd")&amp;"_"&amp;TEXT(Errorlog_table[[#This Row],[SDT_Timestamp]],"HH:MM:SS")&amp;"_"&amp;Errorlog_table[[#This Row],[System]]</f>
        <v>2025-05-18_04:50:00_CR51</v>
      </c>
      <c r="AE122" s="287" t="str">
        <f>Errorlog_table[[#This Row],[P_Hits]]</f>
        <v>N</v>
      </c>
      <c r="AF122" s="287">
        <v>0</v>
      </c>
    </row>
    <row r="123" spans="1:32" ht="28.5">
      <c r="A123" s="423" t="s">
        <v>7</v>
      </c>
      <c r="B123" s="287" t="str">
        <f>VLOOKUP(A123,'5000_Fleet'!A:D,2,FALSE)</f>
        <v>Intel</v>
      </c>
      <c r="C123" s="287" t="s">
        <v>244</v>
      </c>
      <c r="D123" s="287">
        <f>YEAR(DATE(YEAR(Errorlog_table[[#This Row],[Date]]-WEEKDAY(Errorlog_table[[#This Row],[Date]]-1)+4),1,1)-MOD((DATE(YEAR(Errorlog_table[[#This Row],[Date]]-WEEKDAY(Errorlog_table[[#This Row],[Date]]-1)+4),1,1)-2),7)+(7*IF(MOD((DATE(YEAR(Errorlog_table[[#This Row],[Date]]-WEEKDAY(Errorlog_table[[#This Row],[Date]]-1)+4),1,1)-2),7)&gt;3,1,0))+7)</f>
        <v>2025</v>
      </c>
      <c r="E123" s="415">
        <f>VALUE(TEXT(_xlfn.ISOWEEKNUM(Errorlog_table[[#This Row],[Date]]),"00"))</f>
        <v>21</v>
      </c>
      <c r="F123" s="416">
        <f>VALUE((Errorlog_table[[#This Row],[Year]])&amp;TEXT(Errorlog_table[[#This Row],[Week_Number]],"00"))</f>
        <v>202521</v>
      </c>
      <c r="G123" s="389">
        <v>45796</v>
      </c>
      <c r="H123" s="424">
        <v>0.55000000000000004</v>
      </c>
      <c r="I123" s="458" t="s">
        <v>596</v>
      </c>
      <c r="J123" s="385" t="str">
        <f>IF(LEN(VALUE(MID(Errorlog_table[[#This Row],[Description]],FIND(":",Errorlog_table[[#This Row],[Description]])+1,6)))&gt;1,MID(Errorlog_table[[#This Row],[Description]],FIND(":",Errorlog_table[[#This Row],[Description]])+1,6),"")</f>
        <v>121092</v>
      </c>
      <c r="K123" s="296">
        <v>3.3</v>
      </c>
      <c r="L123" s="423" t="s">
        <v>234</v>
      </c>
      <c r="M123" s="287">
        <v>53144187</v>
      </c>
      <c r="N123" s="287" t="s">
        <v>597</v>
      </c>
      <c r="O123" s="281" t="str">
        <f t="shared" si="6"/>
        <v>P829173</v>
      </c>
      <c r="P123" s="287">
        <f>LEN(Errorlog_table[[#This Row],[AIR]])</f>
        <v>7</v>
      </c>
      <c r="Q123" s="37" cm="1">
        <f t="array" ref="Q123">IF(OR(Errorlog_table[[#This Row],[AIR]]="n/a",Errorlog_table[[#This Row],[Event_code]]="Y"),"n/a",IF(Errorlog_table[[#This Row],[AIR]]="","no AIR",_xlfn.XLOOKUP(Errorlog_table[[#This Row],[AIR]],AIR_dump[[#All],[Number]],AIR_dump[[#All],[Type]],"not found",0,1)))</f>
        <v>0</v>
      </c>
      <c r="R123" s="420" t="str" cm="1">
        <f t="array" ref="R123">IF(OR(Errorlog_table[[#This Row],[AIR]]="n/a",Errorlog_table[[#This Row],[Event_code]]="Y"),"n/a",IF(Errorlog_table[[#This Row],[AIR]]="","no AIR",_xlfn.XLOOKUP(Errorlog_table[[#This Row],[AIR]],AIR_dump[[#All],[Number]],AIR_dump[[#All],[Summary]],"not found",0,1)))</f>
        <v>MC53 DC-Link error limit NOK, causing downtime and MC53 swaps for US voltag</v>
      </c>
      <c r="S123" s="385" t="str" cm="1">
        <f t="array" ref="S123">_xlfn.XLOOKUP(Errorlog_table[[#This Row],[AIR]],AIR_dump[[#All],[Number]],AIR_dump[[#All],[Close notes]])</f>
        <v>US adapt FW release 23</v>
      </c>
      <c r="T123" s="385">
        <f>Errorlog_table[[#This Row],[Year_Week_Number]]</f>
        <v>202521</v>
      </c>
      <c r="U123" s="421" t="s">
        <v>230</v>
      </c>
      <c r="V123" s="421" t="s">
        <v>230</v>
      </c>
      <c r="W123" s="421" t="str">
        <f>Errorlog_table[[#This Row],[System]]</f>
        <v>GY86</v>
      </c>
      <c r="X123" s="385" t="str">
        <f>Errorlog_table[[#This Row],[link]]</f>
        <v>P829173</v>
      </c>
      <c r="Y123" s="287" t="str">
        <f>Errorlog_table[[#This Row],[Root_Error]]</f>
        <v>LAB-002D</v>
      </c>
      <c r="Z123" s="287" t="str">
        <f>Errorlog_table[[#This Row],[Description]]</f>
        <v xml:space="preserve">EpmID:121092| SCN - lot abort on LAB-002D | LAB-002D | </v>
      </c>
      <c r="AA123" s="287" t="str">
        <f t="shared" si="5"/>
        <v>Short down</v>
      </c>
      <c r="AB123" s="415">
        <f ca="1">_xlfn.ISOWEEKNUM(Errorlog_table[[#This Row],[Date]])+52*(Errorlog_table[[#This Row],[Year]]-YEAR(DATE(YEAR(TODAY()-WEEKDAY(TODAY()-1)+4),1,1)-MOD((DATE(YEAR(TODAY()-WEEKDAY(TODAY()-1)+4),1,1)-2),7)+(7*IF(MOD((DATE(YEAR(TODAY()-WEEKDAY(TODAY()-1)+4),1,1)-2),7)&gt;3,1,0))+7) )-_xlfn.ISOWEEKNUM(NOW())</f>
        <v>-16</v>
      </c>
      <c r="AC123" s="287">
        <f>COUNTIF(MTBF_pareto[AIR],Errorlog_table[[#This Row],[AIR]])</f>
        <v>0</v>
      </c>
      <c r="AD123" s="306" t="str">
        <f>TEXT(Errorlog_table[[#This Row],[Date]],"yyyy-mm-dd")&amp;"_"&amp;TEXT(Errorlog_table[[#This Row],[SDT_Timestamp]],"HH:MM:SS")&amp;"_"&amp;Errorlog_table[[#This Row],[System]]</f>
        <v>2025-05-19_13:12:00_GY86</v>
      </c>
      <c r="AE123" s="287" t="str">
        <f>Errorlog_table[[#This Row],[P_Hits]]</f>
        <v>Y</v>
      </c>
      <c r="AF123" s="287">
        <v>0</v>
      </c>
    </row>
    <row r="124" spans="1:32" ht="28.5">
      <c r="A124" s="423" t="s">
        <v>4</v>
      </c>
      <c r="B124" s="287" t="str">
        <f>VLOOKUP(A124,'5000_Fleet'!A:D,2,FALSE)</f>
        <v>Intel</v>
      </c>
      <c r="C124" s="287" t="s">
        <v>530</v>
      </c>
      <c r="D124" s="287">
        <f>YEAR(DATE(YEAR(Errorlog_table[[#This Row],[Date]]-WEEKDAY(Errorlog_table[[#This Row],[Date]]-1)+4),1,1)-MOD((DATE(YEAR(Errorlog_table[[#This Row],[Date]]-WEEKDAY(Errorlog_table[[#This Row],[Date]]-1)+4),1,1)-2),7)+(7*IF(MOD((DATE(YEAR(Errorlog_table[[#This Row],[Date]]-WEEKDAY(Errorlog_table[[#This Row],[Date]]-1)+4),1,1)-2),7)&gt;3,1,0))+7)</f>
        <v>2025</v>
      </c>
      <c r="E124" s="415">
        <f>VALUE(TEXT(_xlfn.ISOWEEKNUM(Errorlog_table[[#This Row],[Date]]),"00"))</f>
        <v>21</v>
      </c>
      <c r="F124" s="416">
        <f>VALUE((Errorlog_table[[#This Row],[Year]])&amp;TEXT(Errorlog_table[[#This Row],[Week_Number]],"00"))</f>
        <v>202521</v>
      </c>
      <c r="G124" s="389">
        <v>45796</v>
      </c>
      <c r="H124" s="424">
        <v>0.59930555555555554</v>
      </c>
      <c r="I124" s="458" t="s">
        <v>598</v>
      </c>
      <c r="J124" s="385" t="str">
        <f>IF(LEN(VALUE(MID(Errorlog_table[[#This Row],[Description]],FIND(":",Errorlog_table[[#This Row],[Description]])+1,6)))&gt;1,MID(Errorlog_table[[#This Row],[Description]],FIND(":",Errorlog_table[[#This Row],[Description]])+1,6),"")</f>
        <v>121089</v>
      </c>
      <c r="K124" s="296">
        <v>1.82</v>
      </c>
      <c r="L124" s="423" t="s">
        <v>599</v>
      </c>
      <c r="M124" s="287">
        <v>53144175</v>
      </c>
      <c r="N124" s="287" t="s">
        <v>597</v>
      </c>
      <c r="O124" s="281" t="str">
        <f t="shared" si="6"/>
        <v>P829173</v>
      </c>
      <c r="P124" s="287">
        <f>LEN(Errorlog_table[[#This Row],[AIR]])</f>
        <v>7</v>
      </c>
      <c r="Q124" s="37" cm="1">
        <f t="array" ref="Q124">IF(OR(Errorlog_table[[#This Row],[AIR]]="n/a",Errorlog_table[[#This Row],[Event_code]]="Y"),"n/a",IF(Errorlog_table[[#This Row],[AIR]]="","no AIR",_xlfn.XLOOKUP(Errorlog_table[[#This Row],[AIR]],AIR_dump[[#All],[Number]],AIR_dump[[#All],[Type]],"not found",0,1)))</f>
        <v>0</v>
      </c>
      <c r="R124" s="420" t="str" cm="1">
        <f t="array" ref="R124">IF(OR(Errorlog_table[[#This Row],[AIR]]="n/a",Errorlog_table[[#This Row],[Event_code]]="Y"),"n/a",IF(Errorlog_table[[#This Row],[AIR]]="","no AIR",_xlfn.XLOOKUP(Errorlog_table[[#This Row],[AIR]],AIR_dump[[#All],[Number]],AIR_dump[[#All],[Summary]],"not found",0,1)))</f>
        <v>MC53 DC-Link error limit NOK, causing downtime and MC53 swaps for US voltag</v>
      </c>
      <c r="S124" s="385" t="str" cm="1">
        <f t="array" ref="S124">_xlfn.XLOOKUP(Errorlog_table[[#This Row],[AIR]],AIR_dump[[#All],[Number]],AIR_dump[[#All],[Close notes]])</f>
        <v>US adapt FW release 23</v>
      </c>
      <c r="T124" s="385">
        <f>Errorlog_table[[#This Row],[Year_Week_Number]]</f>
        <v>202521</v>
      </c>
      <c r="U124" s="421" t="s">
        <v>230</v>
      </c>
      <c r="V124" s="421" t="s">
        <v>230</v>
      </c>
      <c r="W124" s="421" t="str">
        <f>Errorlog_table[[#This Row],[System]]</f>
        <v>CR51</v>
      </c>
      <c r="X124" s="385" t="str">
        <f>Errorlog_table[[#This Row],[link]]</f>
        <v>P829173</v>
      </c>
      <c r="Y124" s="287" t="str">
        <f>Errorlog_table[[#This Row],[Root_Error]]</f>
        <v>#ND#</v>
      </c>
      <c r="Z124" s="287" t="str">
        <f>Errorlog_table[[#This Row],[Description]]</f>
        <v xml:space="preserve">EpmID:121089| SRC - Soft ramp interlock trip (Lot Abort) | ND | </v>
      </c>
      <c r="AA124" s="287" t="str">
        <f t="shared" si="5"/>
        <v>Short down</v>
      </c>
      <c r="AB124" s="415">
        <f ca="1">_xlfn.ISOWEEKNUM(Errorlog_table[[#This Row],[Date]])+52*(Errorlog_table[[#This Row],[Year]]-YEAR(DATE(YEAR(TODAY()-WEEKDAY(TODAY()-1)+4),1,1)-MOD((DATE(YEAR(TODAY()-WEEKDAY(TODAY()-1)+4),1,1)-2),7)+(7*IF(MOD((DATE(YEAR(TODAY()-WEEKDAY(TODAY()-1)+4),1,1)-2),7)&gt;3,1,0))+7) )-_xlfn.ISOWEEKNUM(NOW())</f>
        <v>-16</v>
      </c>
      <c r="AC124" s="287">
        <f>COUNTIF(MTBF_pareto[AIR],Errorlog_table[[#This Row],[AIR]])</f>
        <v>0</v>
      </c>
      <c r="AD124" s="306" t="str">
        <f>TEXT(Errorlog_table[[#This Row],[Date]],"yyyy-mm-dd")&amp;"_"&amp;TEXT(Errorlog_table[[#This Row],[SDT_Timestamp]],"HH:MM:SS")&amp;"_"&amp;Errorlog_table[[#This Row],[System]]</f>
        <v>2025-05-19_14:23:00_CR51</v>
      </c>
      <c r="AE124" s="287" t="str">
        <f>Errorlog_table[[#This Row],[P_Hits]]</f>
        <v>Y</v>
      </c>
      <c r="AF124" s="287">
        <v>0</v>
      </c>
    </row>
    <row r="125" spans="1:32" ht="28.5">
      <c r="A125" s="423" t="s">
        <v>7</v>
      </c>
      <c r="B125" s="287" t="str">
        <f>VLOOKUP(A125,'5000_Fleet'!A:D,2,FALSE)</f>
        <v>Intel</v>
      </c>
      <c r="C125" s="423" t="s">
        <v>280</v>
      </c>
      <c r="D125" s="287">
        <f>YEAR(DATE(YEAR(Errorlog_table[[#This Row],[Date]]-WEEKDAY(Errorlog_table[[#This Row],[Date]]-1)+4),1,1)-MOD((DATE(YEAR(Errorlog_table[[#This Row],[Date]]-WEEKDAY(Errorlog_table[[#This Row],[Date]]-1)+4),1,1)-2),7)+(7*IF(MOD((DATE(YEAR(Errorlog_table[[#This Row],[Date]]-WEEKDAY(Errorlog_table[[#This Row],[Date]]-1)+4),1,1)-2),7)&gt;3,1,0))+7)</f>
        <v>2025</v>
      </c>
      <c r="E125" s="415">
        <f>VALUE(TEXT(_xlfn.ISOWEEKNUM(Errorlog_table[[#This Row],[Date]]),"00"))</f>
        <v>21</v>
      </c>
      <c r="F125" s="416">
        <f>VALUE((Errorlog_table[[#This Row],[Year]])&amp;TEXT(Errorlog_table[[#This Row],[Week_Number]],"00"))</f>
        <v>202521</v>
      </c>
      <c r="G125" s="389">
        <v>45798</v>
      </c>
      <c r="H125" s="424">
        <v>0.15208333333333332</v>
      </c>
      <c r="I125" s="458" t="s">
        <v>600</v>
      </c>
      <c r="J125" s="385" t="str">
        <f>IF(LEN(VALUE(MID(Errorlog_table[[#This Row],[Description]],FIND(":",Errorlog_table[[#This Row],[Description]])+1,6)))&gt;1,MID(Errorlog_table[[#This Row],[Description]],FIND(":",Errorlog_table[[#This Row],[Description]])+1,6),"")</f>
        <v>121324</v>
      </c>
      <c r="K125" s="296">
        <v>4.87</v>
      </c>
      <c r="L125" s="423" t="s">
        <v>114</v>
      </c>
      <c r="M125" s="287">
        <v>53146443</v>
      </c>
      <c r="N125" s="287" t="s">
        <v>271</v>
      </c>
      <c r="O125" s="281" t="str">
        <f t="shared" si="6"/>
        <v>P853275</v>
      </c>
      <c r="P125" s="287">
        <f>LEN(Errorlog_table[[#This Row],[AIR]])</f>
        <v>7</v>
      </c>
      <c r="Q125" s="37" cm="1">
        <f t="array" ref="Q125">IF(OR(Errorlog_table[[#This Row],[AIR]]="n/a",Errorlog_table[[#This Row],[Event_code]]="Y"),"n/a",IF(Errorlog_table[[#This Row],[AIR]]="","no AIR",_xlfn.XLOOKUP(Errorlog_table[[#This Row],[AIR]],AIR_dump[[#All],[Number]],AIR_dump[[#All],[Type]],"not found",0,1)))</f>
        <v>0</v>
      </c>
      <c r="R125" s="420" t="str" cm="1">
        <f t="array" ref="R125">IF(OR(Errorlog_table[[#This Row],[AIR]]="n/a",Errorlog_table[[#This Row],[Event_code]]="Y"),"n/a",IF(Errorlog_table[[#This Row],[AIR]]="","no AIR",_xlfn.XLOOKUP(Errorlog_table[[#This Row],[AIR]],AIR_dump[[#All],[Number]],AIR_dump[[#All],[Summary]],"not found",0,1)))</f>
        <v>P853275 - NXE:3800E and EXE:5000 Destination Violation Error ZH-221D</v>
      </c>
      <c r="S125" s="385" t="str" cm="1">
        <f t="array" ref="S125">_xlfn.XLOOKUP(Errorlog_table[[#This Row],[AIR]],AIR_dump[[#All],[Number]],AIR_dump[[#All],[Close notes]])</f>
        <v>Firmware delivered W19 (COB swap done)</v>
      </c>
      <c r="T125" s="385">
        <f>Errorlog_table[[#This Row],[Year_Week_Number]]</f>
        <v>202521</v>
      </c>
      <c r="U125" s="421" t="s">
        <v>230</v>
      </c>
      <c r="V125" s="421" t="s">
        <v>230</v>
      </c>
      <c r="W125" s="421" t="str">
        <f>Errorlog_table[[#This Row],[System]]</f>
        <v>GY86</v>
      </c>
      <c r="X125" s="385" t="str">
        <f>Errorlog_table[[#This Row],[link]]</f>
        <v>P853275</v>
      </c>
      <c r="Y125" s="287" t="str">
        <f>Errorlog_table[[#This Row],[Root_Error]]</f>
        <v>ZF-4392</v>
      </c>
      <c r="Z125" s="287" t="str">
        <f>Errorlog_table[[#This Row],[Description]]</f>
        <v xml:space="preserve">EpmID:121324| SCN - Lot Abort ZF-4392 | ZF-4392 | </v>
      </c>
      <c r="AA125" s="287" t="str">
        <f t="shared" si="5"/>
        <v>Short down</v>
      </c>
      <c r="AB125" s="415">
        <f ca="1">_xlfn.ISOWEEKNUM(Errorlog_table[[#This Row],[Date]])+52*(Errorlog_table[[#This Row],[Year]]-YEAR(DATE(YEAR(TODAY()-WEEKDAY(TODAY()-1)+4),1,1)-MOD((DATE(YEAR(TODAY()-WEEKDAY(TODAY()-1)+4),1,1)-2),7)+(7*IF(MOD((DATE(YEAR(TODAY()-WEEKDAY(TODAY()-1)+4),1,1)-2),7)&gt;3,1,0))+7) )-_xlfn.ISOWEEKNUM(NOW())</f>
        <v>-16</v>
      </c>
      <c r="AC125" s="287">
        <f>COUNTIF(MTBF_pareto[AIR],Errorlog_table[[#This Row],[AIR]])</f>
        <v>0</v>
      </c>
      <c r="AD125" s="306" t="str">
        <f>TEXT(Errorlog_table[[#This Row],[Date]],"yyyy-mm-dd")&amp;"_"&amp;TEXT(Errorlog_table[[#This Row],[SDT_Timestamp]],"HH:MM:SS")&amp;"_"&amp;Errorlog_table[[#This Row],[System]]</f>
        <v>2025-05-21_03:39:00_GY86</v>
      </c>
      <c r="AE125" s="287" t="str">
        <f>Errorlog_table[[#This Row],[P_Hits]]</f>
        <v>Y</v>
      </c>
      <c r="AF125" s="287">
        <v>1</v>
      </c>
    </row>
    <row r="126" spans="1:32" ht="28.5">
      <c r="A126" s="423" t="s">
        <v>4</v>
      </c>
      <c r="B126" s="287" t="str">
        <f>VLOOKUP(A126,'5000_Fleet'!A:D,2,FALSE)</f>
        <v>Intel</v>
      </c>
      <c r="C126" s="287" t="s">
        <v>601</v>
      </c>
      <c r="D126" s="287">
        <f>YEAR(DATE(YEAR(Errorlog_table[[#This Row],[Date]]-WEEKDAY(Errorlog_table[[#This Row],[Date]]-1)+4),1,1)-MOD((DATE(YEAR(Errorlog_table[[#This Row],[Date]]-WEEKDAY(Errorlog_table[[#This Row],[Date]]-1)+4),1,1)-2),7)+(7*IF(MOD((DATE(YEAR(Errorlog_table[[#This Row],[Date]]-WEEKDAY(Errorlog_table[[#This Row],[Date]]-1)+4),1,1)-2),7)&gt;3,1,0))+7)</f>
        <v>2025</v>
      </c>
      <c r="E126" s="415">
        <f>VALUE(TEXT(_xlfn.ISOWEEKNUM(Errorlog_table[[#This Row],[Date]]),"00"))</f>
        <v>21</v>
      </c>
      <c r="F126" s="416">
        <f>VALUE((Errorlog_table[[#This Row],[Year]])&amp;TEXT(Errorlog_table[[#This Row],[Week_Number]],"00"))</f>
        <v>202521</v>
      </c>
      <c r="G126" s="389">
        <v>45800</v>
      </c>
      <c r="H126" s="424">
        <v>0.81736111111111109</v>
      </c>
      <c r="I126" s="458" t="s">
        <v>602</v>
      </c>
      <c r="J126" s="385" t="str">
        <f>IF(LEN(VALUE(MID(Errorlog_table[[#This Row],[Description]],FIND(":",Errorlog_table[[#This Row],[Description]])+1,6)))&gt;1,MID(Errorlog_table[[#This Row],[Description]],FIND(":",Errorlog_table[[#This Row],[Description]])+1,6),"")</f>
        <v>121774</v>
      </c>
      <c r="K126" s="296">
        <v>3.92</v>
      </c>
      <c r="L126" s="423" t="s">
        <v>603</v>
      </c>
      <c r="M126" s="287">
        <v>53145688</v>
      </c>
      <c r="N126" s="287" t="s">
        <v>604</v>
      </c>
      <c r="O126" s="281" t="str">
        <f t="shared" si="6"/>
        <v>P863919</v>
      </c>
      <c r="P126" s="287">
        <f>LEN(Errorlog_table[[#This Row],[AIR]])</f>
        <v>7</v>
      </c>
      <c r="Q126" s="37" cm="1">
        <f t="array" ref="Q126">IF(OR(Errorlog_table[[#This Row],[AIR]]="n/a",Errorlog_table[[#This Row],[Event_code]]="Y"),"n/a",IF(Errorlog_table[[#This Row],[AIR]]="","no AIR",_xlfn.XLOOKUP(Errorlog_table[[#This Row],[AIR]],AIR_dump[[#All],[Number]],AIR_dump[[#All],[Type]],"not found",0,1)))</f>
        <v>0</v>
      </c>
      <c r="R126" s="420" t="str" cm="1">
        <f t="array" ref="R126">IF(OR(Errorlog_table[[#This Row],[AIR]]="n/a",Errorlog_table[[#This Row],[Event_code]]="Y"),"n/a",IF(Errorlog_table[[#This Row],[AIR]]="","no AIR",_xlfn.XLOOKUP(Errorlog_table[[#This Row],[AIR]],AIR_dump[[#All],[Number]],AIR_dump[[#All],[Summary]],"not found",0,1)))</f>
        <v>Too high RCW flow on NxZ12 &amp; PxZ10 (PX side) WaterFlow (Supply Valve 54: MM1 NX &amp; PX) on OMM testrig 2 (BH88 - pilot 2)</v>
      </c>
      <c r="S126" s="385" t="str" cm="1">
        <f t="array" ref="S126">_xlfn.XLOOKUP(Errorlog_table[[#This Row],[AIR]],AIR_dump[[#All],[Number]],AIR_dump[[#All],[Close notes]])</f>
        <v>SP 23 fix</v>
      </c>
      <c r="T126" s="385">
        <f>Errorlog_table[[#This Row],[Year_Week_Number]]</f>
        <v>202521</v>
      </c>
      <c r="U126" s="421" t="s">
        <v>230</v>
      </c>
      <c r="V126" s="421" t="s">
        <v>230</v>
      </c>
      <c r="W126" s="421" t="str">
        <f>Errorlog_table[[#This Row],[System]]</f>
        <v>CR51</v>
      </c>
      <c r="X126" s="385" t="str">
        <f>Errorlog_table[[#This Row],[link]]</f>
        <v>P863919</v>
      </c>
      <c r="Y126" s="287" t="str">
        <f>Errorlog_table[[#This Row],[Root_Error]]</f>
        <v>UL-90EA</v>
      </c>
      <c r="Z126" s="287" t="str">
        <f>Errorlog_table[[#This Row],[Description]]</f>
        <v xml:space="preserve">EpmID:121774| SCN - LOT ABORT UL-9101 | UL-90EA | </v>
      </c>
      <c r="AA126" s="287" t="str">
        <f t="shared" ref="AA126:AA157" si="7">IF(K126&gt;=12,"XLD","Short down")</f>
        <v>Short down</v>
      </c>
      <c r="AB126" s="415">
        <f ca="1">_xlfn.ISOWEEKNUM(Errorlog_table[[#This Row],[Date]])+52*(Errorlog_table[[#This Row],[Year]]-YEAR(DATE(YEAR(TODAY()-WEEKDAY(TODAY()-1)+4),1,1)-MOD((DATE(YEAR(TODAY()-WEEKDAY(TODAY()-1)+4),1,1)-2),7)+(7*IF(MOD((DATE(YEAR(TODAY()-WEEKDAY(TODAY()-1)+4),1,1)-2),7)&gt;3,1,0))+7) )-_xlfn.ISOWEEKNUM(NOW())</f>
        <v>-16</v>
      </c>
      <c r="AC126" s="287">
        <f>COUNTIF(MTBF_pareto[AIR],Errorlog_table[[#This Row],[AIR]])</f>
        <v>0</v>
      </c>
      <c r="AD126" s="306" t="str">
        <f>TEXT(Errorlog_table[[#This Row],[Date]],"yyyy-mm-dd")&amp;"_"&amp;TEXT(Errorlog_table[[#This Row],[SDT_Timestamp]],"HH:MM:SS")&amp;"_"&amp;Errorlog_table[[#This Row],[System]]</f>
        <v>2025-05-23_19:37:00_CR51</v>
      </c>
      <c r="AE126" s="287" t="str">
        <f>Errorlog_table[[#This Row],[P_Hits]]</f>
        <v>Y</v>
      </c>
      <c r="AF126" s="287">
        <v>0</v>
      </c>
    </row>
    <row r="127" spans="1:32" ht="28.5">
      <c r="A127" s="423" t="s">
        <v>4</v>
      </c>
      <c r="B127" s="287" t="str">
        <f>VLOOKUP(A127,'5000_Fleet'!A:D,2,FALSE)</f>
        <v>Intel</v>
      </c>
      <c r="C127" s="287" t="s">
        <v>601</v>
      </c>
      <c r="D127" s="287">
        <f>YEAR(DATE(YEAR(Errorlog_table[[#This Row],[Date]]-WEEKDAY(Errorlog_table[[#This Row],[Date]]-1)+4),1,1)-MOD((DATE(YEAR(Errorlog_table[[#This Row],[Date]]-WEEKDAY(Errorlog_table[[#This Row],[Date]]-1)+4),1,1)-2),7)+(7*IF(MOD((DATE(YEAR(Errorlog_table[[#This Row],[Date]]-WEEKDAY(Errorlog_table[[#This Row],[Date]]-1)+4),1,1)-2),7)&gt;3,1,0))+7)</f>
        <v>2025</v>
      </c>
      <c r="E127" s="415">
        <f>VALUE(TEXT(_xlfn.ISOWEEKNUM(Errorlog_table[[#This Row],[Date]]),"00"))</f>
        <v>21</v>
      </c>
      <c r="F127" s="416">
        <f>VALUE((Errorlog_table[[#This Row],[Year]])&amp;TEXT(Errorlog_table[[#This Row],[Week_Number]],"00"))</f>
        <v>202521</v>
      </c>
      <c r="G127" s="389">
        <v>45801</v>
      </c>
      <c r="H127" s="424">
        <v>0.8256944444444444</v>
      </c>
      <c r="I127" s="458" t="s">
        <v>605</v>
      </c>
      <c r="J127" s="385" t="str">
        <f>IF(LEN(VALUE(MID(Errorlog_table[[#This Row],[Description]],FIND(":",Errorlog_table[[#This Row],[Description]])+1,6)))&gt;1,MID(Errorlog_table[[#This Row],[Description]],FIND(":",Errorlog_table[[#This Row],[Description]])+1,6),"")</f>
        <v>121771</v>
      </c>
      <c r="K127" s="296">
        <v>3.43</v>
      </c>
      <c r="L127" s="423" t="s">
        <v>595</v>
      </c>
      <c r="M127" s="287">
        <v>53145688</v>
      </c>
      <c r="N127" s="287" t="s">
        <v>604</v>
      </c>
      <c r="O127" s="281" t="str">
        <f t="shared" si="6"/>
        <v>P863919</v>
      </c>
      <c r="P127" s="287">
        <f>LEN(Errorlog_table[[#This Row],[AIR]])</f>
        <v>7</v>
      </c>
      <c r="Q127" s="37" cm="1">
        <f t="array" ref="Q127">IF(OR(Errorlog_table[[#This Row],[AIR]]="n/a",Errorlog_table[[#This Row],[Event_code]]="Y"),"n/a",IF(Errorlog_table[[#This Row],[AIR]]="","no AIR",_xlfn.XLOOKUP(Errorlog_table[[#This Row],[AIR]],AIR_dump[[#All],[Number]],AIR_dump[[#All],[Type]],"not found",0,1)))</f>
        <v>0</v>
      </c>
      <c r="R127" s="420" t="str" cm="1">
        <f t="array" ref="R127">IF(OR(Errorlog_table[[#This Row],[AIR]]="n/a",Errorlog_table[[#This Row],[Event_code]]="Y"),"n/a",IF(Errorlog_table[[#This Row],[AIR]]="","no AIR",_xlfn.XLOOKUP(Errorlog_table[[#This Row],[AIR]],AIR_dump[[#All],[Number]],AIR_dump[[#All],[Summary]],"not found",0,1)))</f>
        <v>Too high RCW flow on NxZ12 &amp; PxZ10 (PX side) WaterFlow (Supply Valve 54: MM1 NX &amp; PX) on OMM testrig 2 (BH88 - pilot 2)</v>
      </c>
      <c r="S127" s="385" t="str" cm="1">
        <f t="array" ref="S127">_xlfn.XLOOKUP(Errorlog_table[[#This Row],[AIR]],AIR_dump[[#All],[Number]],AIR_dump[[#All],[Close notes]])</f>
        <v>SP 23 fix</v>
      </c>
      <c r="T127" s="385">
        <f>Errorlog_table[[#This Row],[Year_Week_Number]]</f>
        <v>202521</v>
      </c>
      <c r="U127" s="421" t="s">
        <v>230</v>
      </c>
      <c r="V127" s="421" t="s">
        <v>230</v>
      </c>
      <c r="W127" s="421" t="str">
        <f>Errorlog_table[[#This Row],[System]]</f>
        <v>CR51</v>
      </c>
      <c r="X127" s="385" t="str">
        <f>Errorlog_table[[#This Row],[link]]</f>
        <v>P863919</v>
      </c>
      <c r="Y127" s="287" t="str">
        <f>Errorlog_table[[#This Row],[Root_Error]]</f>
        <v>UL-90EA</v>
      </c>
      <c r="Z127" s="287" t="str">
        <f>Errorlog_table[[#This Row],[Description]]</f>
        <v xml:space="preserve">EpmID:121771| SCN - Lot Abort for UL-90EA | UL-90EA | </v>
      </c>
      <c r="AA127" s="287" t="str">
        <f t="shared" si="7"/>
        <v>Short down</v>
      </c>
      <c r="AB127" s="415">
        <f ca="1">_xlfn.ISOWEEKNUM(Errorlog_table[[#This Row],[Date]])+52*(Errorlog_table[[#This Row],[Year]]-YEAR(DATE(YEAR(TODAY()-WEEKDAY(TODAY()-1)+4),1,1)-MOD((DATE(YEAR(TODAY()-WEEKDAY(TODAY()-1)+4),1,1)-2),7)+(7*IF(MOD((DATE(YEAR(TODAY()-WEEKDAY(TODAY()-1)+4),1,1)-2),7)&gt;3,1,0))+7) )-_xlfn.ISOWEEKNUM(NOW())</f>
        <v>-16</v>
      </c>
      <c r="AC127" s="287">
        <f>COUNTIF(MTBF_pareto[AIR],Errorlog_table[[#This Row],[AIR]])</f>
        <v>0</v>
      </c>
      <c r="AD127" s="306" t="str">
        <f>TEXT(Errorlog_table[[#This Row],[Date]],"yyyy-mm-dd")&amp;"_"&amp;TEXT(Errorlog_table[[#This Row],[SDT_Timestamp]],"HH:MM:SS")&amp;"_"&amp;Errorlog_table[[#This Row],[System]]</f>
        <v>2025-05-24_19:49:00_CR51</v>
      </c>
      <c r="AE127" s="287" t="str">
        <f>Errorlog_table[[#This Row],[P_Hits]]</f>
        <v>Y</v>
      </c>
      <c r="AF127" s="287">
        <v>0</v>
      </c>
    </row>
    <row r="128" spans="1:32" ht="28.5">
      <c r="A128" s="423" t="s">
        <v>4</v>
      </c>
      <c r="B128" s="287" t="str">
        <f>VLOOKUP(A128,'5000_Fleet'!A:D,2,FALSE)</f>
        <v>Intel</v>
      </c>
      <c r="C128" s="287" t="s">
        <v>601</v>
      </c>
      <c r="D128" s="287">
        <f>YEAR(DATE(YEAR(Errorlog_table[[#This Row],[Date]]-WEEKDAY(Errorlog_table[[#This Row],[Date]]-1)+4),1,1)-MOD((DATE(YEAR(Errorlog_table[[#This Row],[Date]]-WEEKDAY(Errorlog_table[[#This Row],[Date]]-1)+4),1,1)-2),7)+(7*IF(MOD((DATE(YEAR(Errorlog_table[[#This Row],[Date]]-WEEKDAY(Errorlog_table[[#This Row],[Date]]-1)+4),1,1)-2),7)&gt;3,1,0))+7)</f>
        <v>2025</v>
      </c>
      <c r="E128" s="415">
        <f>VALUE(TEXT(_xlfn.ISOWEEKNUM(Errorlog_table[[#This Row],[Date]]),"00"))</f>
        <v>22</v>
      </c>
      <c r="F128" s="416">
        <f>VALUE((Errorlog_table[[#This Row],[Year]])&amp;TEXT(Errorlog_table[[#This Row],[Week_Number]],"00"))</f>
        <v>202522</v>
      </c>
      <c r="G128" s="389">
        <v>45803</v>
      </c>
      <c r="H128" s="424">
        <v>0.65625</v>
      </c>
      <c r="I128" s="458" t="s">
        <v>606</v>
      </c>
      <c r="J128" s="385" t="str">
        <f>IF(LEN(VALUE(MID(Errorlog_table[[#This Row],[Description]],FIND(":",Errorlog_table[[#This Row],[Description]])+1,6)))&gt;1,MID(Errorlog_table[[#This Row],[Description]],FIND(":",Errorlog_table[[#This Row],[Description]])+1,6),"")</f>
        <v>121781</v>
      </c>
      <c r="K128" s="296">
        <v>4.08</v>
      </c>
      <c r="L128" s="423" t="s">
        <v>603</v>
      </c>
      <c r="M128" s="287">
        <v>53145688</v>
      </c>
      <c r="N128" s="287" t="s">
        <v>604</v>
      </c>
      <c r="O128" s="281" t="str">
        <f t="shared" si="6"/>
        <v>P863919</v>
      </c>
      <c r="P128" s="287">
        <f>LEN(Errorlog_table[[#This Row],[AIR]])</f>
        <v>7</v>
      </c>
      <c r="Q128" s="37" cm="1">
        <f t="array" ref="Q128">IF(OR(Errorlog_table[[#This Row],[AIR]]="n/a",Errorlog_table[[#This Row],[Event_code]]="Y"),"n/a",IF(Errorlog_table[[#This Row],[AIR]]="","no AIR",_xlfn.XLOOKUP(Errorlog_table[[#This Row],[AIR]],AIR_dump[[#All],[Number]],AIR_dump[[#All],[Type]],"not found",0,1)))</f>
        <v>0</v>
      </c>
      <c r="R128" s="420" t="str" cm="1">
        <f t="array" ref="R128">IF(OR(Errorlog_table[[#This Row],[AIR]]="n/a",Errorlog_table[[#This Row],[Event_code]]="Y"),"n/a",IF(Errorlog_table[[#This Row],[AIR]]="","no AIR",_xlfn.XLOOKUP(Errorlog_table[[#This Row],[AIR]],AIR_dump[[#All],[Number]],AIR_dump[[#All],[Summary]],"not found",0,1)))</f>
        <v>Too high RCW flow on NxZ12 &amp; PxZ10 (PX side) WaterFlow (Supply Valve 54: MM1 NX &amp; PX) on OMM testrig 2 (BH88 - pilot 2)</v>
      </c>
      <c r="S128" s="385" t="str" cm="1">
        <f t="array" ref="S128">_xlfn.XLOOKUP(Errorlog_table[[#This Row],[AIR]],AIR_dump[[#All],[Number]],AIR_dump[[#All],[Close notes]])</f>
        <v>SP 23 fix</v>
      </c>
      <c r="T128" s="385">
        <f>Errorlog_table[[#This Row],[Year_Week_Number]]</f>
        <v>202522</v>
      </c>
      <c r="U128" s="421" t="s">
        <v>230</v>
      </c>
      <c r="V128" s="421" t="s">
        <v>230</v>
      </c>
      <c r="W128" s="421" t="str">
        <f>Errorlog_table[[#This Row],[System]]</f>
        <v>CR51</v>
      </c>
      <c r="X128" s="385" t="str">
        <f>Errorlog_table[[#This Row],[link]]</f>
        <v>P863919</v>
      </c>
      <c r="Y128" s="287" t="str">
        <f>Errorlog_table[[#This Row],[Root_Error]]</f>
        <v>UL-90EA</v>
      </c>
      <c r="Z128" s="287" t="str">
        <f>Errorlog_table[[#This Row],[Description]]</f>
        <v xml:space="preserve">EpmID:121781| SCN - lot abort on UL-90EA | UL-90EA | </v>
      </c>
      <c r="AA128" s="287" t="str">
        <f t="shared" si="7"/>
        <v>Short down</v>
      </c>
      <c r="AB128" s="415">
        <f ca="1">_xlfn.ISOWEEKNUM(Errorlog_table[[#This Row],[Date]])+52*(Errorlog_table[[#This Row],[Year]]-YEAR(DATE(YEAR(TODAY()-WEEKDAY(TODAY()-1)+4),1,1)-MOD((DATE(YEAR(TODAY()-WEEKDAY(TODAY()-1)+4),1,1)-2),7)+(7*IF(MOD((DATE(YEAR(TODAY()-WEEKDAY(TODAY()-1)+4),1,1)-2),7)&gt;3,1,0))+7) )-_xlfn.ISOWEEKNUM(NOW())</f>
        <v>-15</v>
      </c>
      <c r="AC128" s="287">
        <f>COUNTIF(MTBF_pareto[AIR],Errorlog_table[[#This Row],[AIR]])</f>
        <v>0</v>
      </c>
      <c r="AD128" s="306" t="str">
        <f>TEXT(Errorlog_table[[#This Row],[Date]],"yyyy-mm-dd")&amp;"_"&amp;TEXT(Errorlog_table[[#This Row],[SDT_Timestamp]],"HH:MM:SS")&amp;"_"&amp;Errorlog_table[[#This Row],[System]]</f>
        <v>2025-05-26_15:45:00_CR51</v>
      </c>
      <c r="AE128" s="287" t="str">
        <f>Errorlog_table[[#This Row],[P_Hits]]</f>
        <v>Y</v>
      </c>
      <c r="AF128" s="287">
        <v>0</v>
      </c>
    </row>
    <row r="129" spans="1:32" ht="28.5">
      <c r="A129" s="423" t="s">
        <v>7</v>
      </c>
      <c r="B129" s="287" t="str">
        <f>VLOOKUP(A129,'5000_Fleet'!A:D,2,FALSE)</f>
        <v>Intel</v>
      </c>
      <c r="C129" s="423" t="s">
        <v>497</v>
      </c>
      <c r="D129" s="287">
        <f>YEAR(DATE(YEAR(Errorlog_table[[#This Row],[Date]]-WEEKDAY(Errorlog_table[[#This Row],[Date]]-1)+4),1,1)-MOD((DATE(YEAR(Errorlog_table[[#This Row],[Date]]-WEEKDAY(Errorlog_table[[#This Row],[Date]]-1)+4),1,1)-2),7)+(7*IF(MOD((DATE(YEAR(Errorlog_table[[#This Row],[Date]]-WEEKDAY(Errorlog_table[[#This Row],[Date]]-1)+4),1,1)-2),7)&gt;3,1,0))+7)</f>
        <v>2025</v>
      </c>
      <c r="E129" s="415">
        <f>VALUE(TEXT(_xlfn.ISOWEEKNUM(Errorlog_table[[#This Row],[Date]]),"00"))</f>
        <v>22</v>
      </c>
      <c r="F129" s="416">
        <f>VALUE((Errorlog_table[[#This Row],[Year]])&amp;TEXT(Errorlog_table[[#This Row],[Week_Number]],"00"))</f>
        <v>202522</v>
      </c>
      <c r="G129" s="389">
        <v>45804</v>
      </c>
      <c r="H129" s="424">
        <v>0.71111111111111114</v>
      </c>
      <c r="I129" s="459" t="s">
        <v>607</v>
      </c>
      <c r="J129" s="385" t="str">
        <f>IF(LEN(VALUE(MID(Errorlog_table[[#This Row],[Description]],FIND(":",Errorlog_table[[#This Row],[Description]])+1,6)))&gt;1,MID(Errorlog_table[[#This Row],[Description]],FIND(":",Errorlog_table[[#This Row],[Description]])+1,6),"")</f>
        <v>122055</v>
      </c>
      <c r="K129" s="296">
        <v>0.63</v>
      </c>
      <c r="L129" s="423"/>
      <c r="M129" s="287">
        <v>53152113</v>
      </c>
      <c r="N129" s="287" t="s">
        <v>501</v>
      </c>
      <c r="O129" s="281" t="str">
        <f t="shared" si="6"/>
        <v>P820514</v>
      </c>
      <c r="P129" s="287">
        <f>LEN(Errorlog_table[[#This Row],[AIR]])</f>
        <v>7</v>
      </c>
      <c r="Q129" s="37" cm="1">
        <f t="array" ref="Q129">IF(OR(Errorlog_table[[#This Row],[AIR]]="n/a",Errorlog_table[[#This Row],[Event_code]]="Y"),"n/a",IF(Errorlog_table[[#This Row],[AIR]]="","no AIR",_xlfn.XLOOKUP(Errorlog_table[[#This Row],[AIR]],AIR_dump[[#All],[Number]],AIR_dump[[#All],[Type]],"not found",0,1)))</f>
        <v>0</v>
      </c>
      <c r="R129" s="420" t="str" cm="1">
        <f t="array" ref="R129">IF(OR(Errorlog_table[[#This Row],[AIR]]="n/a",Errorlog_table[[#This Row],[Event_code]]="Y"),"n/a",IF(Errorlog_table[[#This Row],[AIR]]="","no AIR",_xlfn.XLOOKUP(Errorlog_table[[#This Row],[AIR]],AIR_dump[[#All],[Number]],AIR_dump[[#All],[Summary]],"not found",0,1)))</f>
        <v>[GY86] PX-B6FC Laser amplifier error: HILA Response communication error detected.</v>
      </c>
      <c r="S129" s="385" t="str" cm="1">
        <f t="array" ref="S129">_xlfn.XLOOKUP(Errorlog_table[[#This Row],[AIR]],AIR_dump[[#All],[Number]],AIR_dump[[#All],[Close notes]])</f>
        <v>Target release SP23</v>
      </c>
      <c r="T129" s="385">
        <f>Errorlog_table[[#This Row],[Year_Week_Number]]</f>
        <v>202522</v>
      </c>
      <c r="U129" s="421" t="s">
        <v>230</v>
      </c>
      <c r="V129" s="421" t="s">
        <v>230</v>
      </c>
      <c r="W129" s="421" t="str">
        <f>Errorlog_table[[#This Row],[System]]</f>
        <v>GY86</v>
      </c>
      <c r="X129" s="385" t="str">
        <f>Errorlog_table[[#This Row],[link]]</f>
        <v>P820514</v>
      </c>
      <c r="Y129" s="287" t="str">
        <f>Errorlog_table[[#This Row],[Root_Error]]</f>
        <v>PX-B6FC</v>
      </c>
      <c r="Z129" s="287" t="str">
        <f>Errorlog_table[[#This Row],[Description]]</f>
        <v xml:space="preserve">EpmID:122055| SCN - lot abort recovery PX-B6FC | PX-B6FC | </v>
      </c>
      <c r="AA129" s="287" t="str">
        <f t="shared" si="7"/>
        <v>Short down</v>
      </c>
      <c r="AB129" s="415">
        <f ca="1">_xlfn.ISOWEEKNUM(Errorlog_table[[#This Row],[Date]])+52*(Errorlog_table[[#This Row],[Year]]-YEAR(DATE(YEAR(TODAY()-WEEKDAY(TODAY()-1)+4),1,1)-MOD((DATE(YEAR(TODAY()-WEEKDAY(TODAY()-1)+4),1,1)-2),7)+(7*IF(MOD((DATE(YEAR(TODAY()-WEEKDAY(TODAY()-1)+4),1,1)-2),7)&gt;3,1,0))+7) )-_xlfn.ISOWEEKNUM(NOW())</f>
        <v>-15</v>
      </c>
      <c r="AC129" s="287">
        <f>COUNTIF(MTBF_pareto[AIR],Errorlog_table[[#This Row],[AIR]])</f>
        <v>0</v>
      </c>
      <c r="AD129" s="306" t="str">
        <f>TEXT(Errorlog_table[[#This Row],[Date]],"yyyy-mm-dd")&amp;"_"&amp;TEXT(Errorlog_table[[#This Row],[SDT_Timestamp]],"HH:MM:SS")&amp;"_"&amp;Errorlog_table[[#This Row],[System]]</f>
        <v>2025-05-27_17:04:00_GY86</v>
      </c>
      <c r="AE129" s="287" t="str">
        <f>Errorlog_table[[#This Row],[P_Hits]]</f>
        <v>Y</v>
      </c>
      <c r="AF129" s="287">
        <v>0</v>
      </c>
    </row>
    <row r="130" spans="1:32" ht="28.5">
      <c r="A130" s="423" t="s">
        <v>12</v>
      </c>
      <c r="B130" s="287" t="str">
        <f>VLOOKUP(A130,'5000_Fleet'!A:D,2,FALSE)</f>
        <v>TSMC</v>
      </c>
      <c r="C130" s="287" t="s">
        <v>608</v>
      </c>
      <c r="D130" s="287">
        <f>YEAR(DATE(YEAR(Errorlog_table[[#This Row],[Date]]-WEEKDAY(Errorlog_table[[#This Row],[Date]]-1)+4),1,1)-MOD((DATE(YEAR(Errorlog_table[[#This Row],[Date]]-WEEKDAY(Errorlog_table[[#This Row],[Date]]-1)+4),1,1)-2),7)+(7*IF(MOD((DATE(YEAR(Errorlog_table[[#This Row],[Date]]-WEEKDAY(Errorlog_table[[#This Row],[Date]]-1)+4),1,1)-2),7)&gt;3,1,0))+7)</f>
        <v>2025</v>
      </c>
      <c r="E130" s="415">
        <f>VALUE(TEXT(_xlfn.ISOWEEKNUM(Errorlog_table[[#This Row],[Date]]),"00"))</f>
        <v>23</v>
      </c>
      <c r="F130" s="416">
        <f>VALUE((Errorlog_table[[#This Row],[Year]])&amp;TEXT(Errorlog_table[[#This Row],[Week_Number]],"00"))</f>
        <v>202523</v>
      </c>
      <c r="G130" s="389">
        <v>45813</v>
      </c>
      <c r="H130" s="424">
        <v>0.95151620370370371</v>
      </c>
      <c r="I130" s="458" t="s">
        <v>609</v>
      </c>
      <c r="J130" s="385" t="e">
        <f>IF(LEN(VALUE(MID(Errorlog_table[[#This Row],[Description]],FIND(":",Errorlog_table[[#This Row],[Description]])+1,6)))&gt;1,MID(Errorlog_table[[#This Row],[Description]],FIND(":",Errorlog_table[[#This Row],[Description]])+1,6),"")</f>
        <v>#VALUE!</v>
      </c>
      <c r="K130" s="296">
        <v>26.78</v>
      </c>
      <c r="L130" s="423" t="s">
        <v>104</v>
      </c>
      <c r="M130" s="287">
        <v>53160039</v>
      </c>
      <c r="N130" s="287" t="s">
        <v>610</v>
      </c>
      <c r="O130" s="281" t="str">
        <f t="shared" ref="O130:O161" si="8">IF(N130="",HYPERLINK("https://air.asml.com/textsearch.do?sysparm_search="&amp;M130,M130),HYPERLINK("https://air.asml.com/u_qm_issues.do?sysparm_query=number="&amp;N130,N130))</f>
        <v>P891530</v>
      </c>
      <c r="P130" s="287">
        <f>LEN(Errorlog_table[[#This Row],[AIR]])</f>
        <v>7</v>
      </c>
      <c r="Q130" s="37" cm="1">
        <f t="array" ref="Q130">IF(OR(Errorlog_table[[#This Row],[AIR]]="n/a",Errorlog_table[[#This Row],[Event_code]]="Y"),"n/a",IF(Errorlog_table[[#This Row],[AIR]]="","no AIR",_xlfn.XLOOKUP(Errorlog_table[[#This Row],[AIR]],AIR_dump[[#All],[Number]],AIR_dump[[#All],[Type]],"not found",0,1)))</f>
        <v>0</v>
      </c>
      <c r="R130" s="420" t="str" cm="1">
        <f t="array" ref="R130">IF(OR(Errorlog_table[[#This Row],[AIR]]="n/a",Errorlog_table[[#This Row],[Event_code]]="Y"),"n/a",IF(Errorlog_table[[#This Row],[AIR]]="","no AIR",_xlfn.XLOOKUP(Errorlog_table[[#This Row],[AIR]],AIR_dump[[#All],[Number]],AIR_dump[[#All],[Summary]],"not found",0,1)))</f>
        <v>FFA-FU: LBB-2004 Temperature switch discrepancy detected, but can not find root cause by official T/S Wo</v>
      </c>
      <c r="S130" s="385" cm="1">
        <f t="array" ref="S130">_xlfn.XLOOKUP(Errorlog_table[[#This Row],[AIR]],AIR_dump[[#All],[Number]],AIR_dump[[#All],[Close notes]])</f>
        <v>0</v>
      </c>
      <c r="T130" s="385">
        <f>Errorlog_table[[#This Row],[Year_Week_Number]]</f>
        <v>202523</v>
      </c>
      <c r="U130" s="421" t="s">
        <v>230</v>
      </c>
      <c r="V130" s="421" t="s">
        <v>230</v>
      </c>
      <c r="W130" s="421" t="str">
        <f>Errorlog_table[[#This Row],[System]]</f>
        <v>GT69</v>
      </c>
      <c r="X130" s="385" t="str">
        <f>Errorlog_table[[#This Row],[link]]</f>
        <v>P891530</v>
      </c>
      <c r="Y130" s="287" t="str">
        <f>Errorlog_table[[#This Row],[Root_Error]]</f>
        <v>LBB-2004</v>
      </c>
      <c r="Z130" s="287" t="str">
        <f>Errorlog_table[[#This Row],[Description]]</f>
        <v>BTS N2 purge interlock tripped / Replace EP10</v>
      </c>
      <c r="AA130" s="287" t="str">
        <f t="shared" si="7"/>
        <v>XLD</v>
      </c>
      <c r="AB130" s="415">
        <f ca="1">_xlfn.ISOWEEKNUM(Errorlog_table[[#This Row],[Date]])+52*(Errorlog_table[[#This Row],[Year]]-YEAR(DATE(YEAR(TODAY()-WEEKDAY(TODAY()-1)+4),1,1)-MOD((DATE(YEAR(TODAY()-WEEKDAY(TODAY()-1)+4),1,1)-2),7)+(7*IF(MOD((DATE(YEAR(TODAY()-WEEKDAY(TODAY()-1)+4),1,1)-2),7)&gt;3,1,0))+7) )-_xlfn.ISOWEEKNUM(NOW())</f>
        <v>-14</v>
      </c>
      <c r="AC130" s="287">
        <f>COUNTIF(MTBF_pareto[AIR],Errorlog_table[[#This Row],[AIR]])</f>
        <v>0</v>
      </c>
      <c r="AD130" s="306" t="str">
        <f>TEXT(Errorlog_table[[#This Row],[Date]],"yyyy-mm-dd")&amp;"_"&amp;TEXT(Errorlog_table[[#This Row],[SDT_Timestamp]],"HH:MM:SS")&amp;"_"&amp;Errorlog_table[[#This Row],[System]]</f>
        <v>2025-06-05_22:50:11_GT69</v>
      </c>
      <c r="AE130" s="287" t="str">
        <f>Errorlog_table[[#This Row],[P_Hits]]</f>
        <v>Y</v>
      </c>
      <c r="AF130" s="287">
        <v>0</v>
      </c>
    </row>
    <row r="131" spans="1:32" ht="15">
      <c r="A131" s="423" t="s">
        <v>12</v>
      </c>
      <c r="B131" s="287" t="str">
        <f>VLOOKUP(A131,'5000_Fleet'!A:D,2,FALSE)</f>
        <v>TSMC</v>
      </c>
      <c r="C131" s="287" t="s">
        <v>163</v>
      </c>
      <c r="D131" s="287">
        <f>YEAR(DATE(YEAR(Errorlog_table[[#This Row],[Date]]-WEEKDAY(Errorlog_table[[#This Row],[Date]]-1)+4),1,1)-MOD((DATE(YEAR(Errorlog_table[[#This Row],[Date]]-WEEKDAY(Errorlog_table[[#This Row],[Date]]-1)+4),1,1)-2),7)+(7*IF(MOD((DATE(YEAR(Errorlog_table[[#This Row],[Date]]-WEEKDAY(Errorlog_table[[#This Row],[Date]]-1)+4),1,1)-2),7)&gt;3,1,0))+7)</f>
        <v>2025</v>
      </c>
      <c r="E131" s="415">
        <f>VALUE(TEXT(_xlfn.ISOWEEKNUM(Errorlog_table[[#This Row],[Date]]),"00"))</f>
        <v>23</v>
      </c>
      <c r="F131" s="416">
        <f>VALUE((Errorlog_table[[#This Row],[Year]])&amp;TEXT(Errorlog_table[[#This Row],[Week_Number]],"00"))</f>
        <v>202523</v>
      </c>
      <c r="G131" s="389">
        <v>45816</v>
      </c>
      <c r="H131" s="424">
        <v>0.62149305555555556</v>
      </c>
      <c r="I131" s="458" t="s">
        <v>611</v>
      </c>
      <c r="J131" s="385" t="e">
        <f>IF(LEN(VALUE(MID(Errorlog_table[[#This Row],[Description]],FIND(":",Errorlog_table[[#This Row],[Description]])+1,6)))&gt;1,MID(Errorlog_table[[#This Row],[Description]],FIND(":",Errorlog_table[[#This Row],[Description]])+1,6),"")</f>
        <v>#VALUE!</v>
      </c>
      <c r="K131" s="296">
        <v>3.98</v>
      </c>
      <c r="L131" s="423" t="s">
        <v>118</v>
      </c>
      <c r="M131" s="287">
        <v>53161866</v>
      </c>
      <c r="N131" s="287"/>
      <c r="O131" s="281">
        <f t="shared" si="8"/>
        <v>53161866</v>
      </c>
      <c r="P131" s="287">
        <f>LEN(Errorlog_table[[#This Row],[AIR]])</f>
        <v>0</v>
      </c>
      <c r="Q131" s="37" t="str" cm="1">
        <f t="array" ref="Q131">IF(OR(Errorlog_table[[#This Row],[AIR]]="n/a",Errorlog_table[[#This Row],[Event_code]]="Y"),"n/a",IF(Errorlog_table[[#This Row],[AIR]]="","no AIR",_xlfn.XLOOKUP(Errorlog_table[[#This Row],[AIR]],AIR_dump[[#All],[Number]],AIR_dump[[#All],[Type]],"not found",0,1)))</f>
        <v>no AIR</v>
      </c>
      <c r="R131" s="420" t="str" cm="1">
        <f t="array" ref="R131">IF(OR(Errorlog_table[[#This Row],[AIR]]="n/a",Errorlog_table[[#This Row],[Event_code]]="Y"),"n/a",IF(Errorlog_table[[#This Row],[AIR]]="","no AIR",_xlfn.XLOOKUP(Errorlog_table[[#This Row],[AIR]],AIR_dump[[#All],[Number]],AIR_dump[[#All],[Summary]],"not found",0,1)))</f>
        <v>no AIR</v>
      </c>
      <c r="S131" s="385" cm="1">
        <f t="array" ref="S131">_xlfn.XLOOKUP(Errorlog_table[[#This Row],[AIR]],AIR_dump[[#All],[Number]],AIR_dump[[#All],[Close notes]])</f>
        <v>0</v>
      </c>
      <c r="T131" s="385">
        <f>Errorlog_table[[#This Row],[Year_Week_Number]]</f>
        <v>202523</v>
      </c>
      <c r="U131" s="421" t="s">
        <v>239</v>
      </c>
      <c r="V131" s="421" t="s">
        <v>230</v>
      </c>
      <c r="W131" s="421" t="str">
        <f>Errorlog_table[[#This Row],[System]]</f>
        <v>GT69</v>
      </c>
      <c r="X131" s="385">
        <f>Errorlog_table[[#This Row],[link]]</f>
        <v>53161866</v>
      </c>
      <c r="Y131" s="287" t="str">
        <f>Errorlog_table[[#This Row],[Root_Error]]</f>
        <v>WE-0406</v>
      </c>
      <c r="Z131" s="287" t="str">
        <f>Errorlog_table[[#This Row],[Description]]</f>
        <v>HIPA SLR/P/C VWH</v>
      </c>
      <c r="AA131" s="287" t="str">
        <f t="shared" si="7"/>
        <v>Short down</v>
      </c>
      <c r="AB131" s="415">
        <f ca="1">_xlfn.ISOWEEKNUM(Errorlog_table[[#This Row],[Date]])+52*(Errorlog_table[[#This Row],[Year]]-YEAR(DATE(YEAR(TODAY()-WEEKDAY(TODAY()-1)+4),1,1)-MOD((DATE(YEAR(TODAY()-WEEKDAY(TODAY()-1)+4),1,1)-2),7)+(7*IF(MOD((DATE(YEAR(TODAY()-WEEKDAY(TODAY()-1)+4),1,1)-2),7)&gt;3,1,0))+7) )-_xlfn.ISOWEEKNUM(NOW())</f>
        <v>-14</v>
      </c>
      <c r="AC131" s="287">
        <f>COUNTIF(MTBF_pareto[AIR],Errorlog_table[[#This Row],[AIR]])</f>
        <v>0</v>
      </c>
      <c r="AD131" s="306" t="str">
        <f>TEXT(Errorlog_table[[#This Row],[Date]],"yyyy-mm-dd")&amp;"_"&amp;TEXT(Errorlog_table[[#This Row],[SDT_Timestamp]],"HH:MM:SS")&amp;"_"&amp;Errorlog_table[[#This Row],[System]]</f>
        <v>2025-06-08_14:54:57_GT69</v>
      </c>
      <c r="AE131" s="287" t="str">
        <f>Errorlog_table[[#This Row],[P_Hits]]</f>
        <v>N</v>
      </c>
      <c r="AF131" s="287">
        <v>0</v>
      </c>
    </row>
    <row r="132" spans="1:32" ht="15">
      <c r="A132" s="423" t="s">
        <v>4</v>
      </c>
      <c r="B132" s="287" t="str">
        <f>VLOOKUP(A132,'5000_Fleet'!A:D,2,FALSE)</f>
        <v>Intel</v>
      </c>
      <c r="C132" s="385" t="s">
        <v>612</v>
      </c>
      <c r="D132" s="287">
        <f>YEAR(DATE(YEAR(Errorlog_table[[#This Row],[Date]]-WEEKDAY(Errorlog_table[[#This Row],[Date]]-1)+4),1,1)-MOD((DATE(YEAR(Errorlog_table[[#This Row],[Date]]-WEEKDAY(Errorlog_table[[#This Row],[Date]]-1)+4),1,1)-2),7)+(7*IF(MOD((DATE(YEAR(Errorlog_table[[#This Row],[Date]]-WEEKDAY(Errorlog_table[[#This Row],[Date]]-1)+4),1,1)-2),7)&gt;3,1,0))+7)</f>
        <v>2025</v>
      </c>
      <c r="E132" s="415">
        <f>VALUE(TEXT(_xlfn.ISOWEEKNUM(Errorlog_table[[#This Row],[Date]]),"00"))</f>
        <v>24</v>
      </c>
      <c r="F132" s="416">
        <f>VALUE((Errorlog_table[[#This Row],[Year]])&amp;TEXT(Errorlog_table[[#This Row],[Week_Number]],"00"))</f>
        <v>202524</v>
      </c>
      <c r="G132" s="426">
        <v>45818</v>
      </c>
      <c r="H132" s="424">
        <v>0.28402777777777777</v>
      </c>
      <c r="I132" s="458" t="s">
        <v>613</v>
      </c>
      <c r="J132" s="385" t="str">
        <f>IF(LEN(VALUE(MID(Errorlog_table[[#This Row],[Description]],FIND(":",Errorlog_table[[#This Row],[Description]])+1,6)))&gt;1,MID(Errorlog_table[[#This Row],[Description]],FIND(":",Errorlog_table[[#This Row],[Description]])+1,6),"")</f>
        <v>123440</v>
      </c>
      <c r="K132" s="296">
        <v>0.63</v>
      </c>
      <c r="L132" s="423"/>
      <c r="M132" s="287">
        <v>53123912</v>
      </c>
      <c r="N132" s="287" t="s">
        <v>402</v>
      </c>
      <c r="O132" s="281" t="str">
        <f t="shared" si="8"/>
        <v>P823264</v>
      </c>
      <c r="P132" s="287">
        <f>LEN(Errorlog_table[[#This Row],[AIR]])</f>
        <v>7</v>
      </c>
      <c r="Q132" s="37" cm="1">
        <f t="array" ref="Q132">IF(OR(Errorlog_table[[#This Row],[AIR]]="n/a",Errorlog_table[[#This Row],[Event_code]]="Y"),"n/a",IF(Errorlog_table[[#This Row],[AIR]]="","no AIR",_xlfn.XLOOKUP(Errorlog_table[[#This Row],[AIR]],AIR_dump[[#All],[Number]],AIR_dump[[#All],[Type]],"not found",0,1)))</f>
        <v>0</v>
      </c>
      <c r="R132" s="420" t="str" cm="1">
        <f t="array" ref="R132">IF(OR(Errorlog_table[[#This Row],[AIR]]="n/a",Errorlog_table[[#This Row],[Event_code]]="Y"),"n/a",IF(Errorlog_table[[#This Row],[AIR]]="","no AIR",_xlfn.XLOOKUP(Errorlog_table[[#This Row],[AIR]],AIR_dump[[#All],[Number]],AIR_dump[[#All],[Summary]],"not found",0,1)))</f>
        <v>Reticle Inventory fails due to 2DBCR cannot read barcode</v>
      </c>
      <c r="S132" s="385" t="str" cm="1">
        <f t="array" ref="S132">_xlfn.XLOOKUP(Errorlog_table[[#This Row],[AIR]],AIR_dump[[#All],[Number]],AIR_dump[[#All],[Close notes]])</f>
        <v>Working on diagnostic patch to continue RCA</v>
      </c>
      <c r="T132" s="385">
        <f>Errorlog_table[[#This Row],[Year_Week_Number]]</f>
        <v>202524</v>
      </c>
      <c r="U132" s="421" t="s">
        <v>239</v>
      </c>
      <c r="V132" s="421" t="s">
        <v>230</v>
      </c>
      <c r="W132" s="421" t="str">
        <f>Errorlog_table[[#This Row],[System]]</f>
        <v>CR51</v>
      </c>
      <c r="X132" s="385" t="str">
        <f>Errorlog_table[[#This Row],[link]]</f>
        <v>P823264</v>
      </c>
      <c r="Y132" s="287" t="str">
        <f>Errorlog_table[[#This Row],[Root_Error]]</f>
        <v>RH-C1C7</v>
      </c>
      <c r="Z132" s="287" t="str">
        <f>Errorlog_table[[#This Row],[Description]]</f>
        <v xml:space="preserve">EpmID:123440| SCN - Barcode read failed | RH-C1C7 | </v>
      </c>
      <c r="AA132" s="287" t="str">
        <f t="shared" si="7"/>
        <v>Short down</v>
      </c>
      <c r="AB132" s="415">
        <f ca="1">_xlfn.ISOWEEKNUM(Errorlog_table[[#This Row],[Date]])+52*(Errorlog_table[[#This Row],[Year]]-YEAR(DATE(YEAR(TODAY()-WEEKDAY(TODAY()-1)+4),1,1)-MOD((DATE(YEAR(TODAY()-WEEKDAY(TODAY()-1)+4),1,1)-2),7)+(7*IF(MOD((DATE(YEAR(TODAY()-WEEKDAY(TODAY()-1)+4),1,1)-2),7)&gt;3,1,0))+7) )-_xlfn.ISOWEEKNUM(NOW())</f>
        <v>-13</v>
      </c>
      <c r="AC132" s="287">
        <f>COUNTIF(MTBF_pareto[AIR],Errorlog_table[[#This Row],[AIR]])</f>
        <v>0</v>
      </c>
      <c r="AD132" s="306" t="str">
        <f>TEXT(Errorlog_table[[#This Row],[Date]],"yyyy-mm-dd")&amp;"_"&amp;TEXT(Errorlog_table[[#This Row],[SDT_Timestamp]],"HH:MM:SS")&amp;"_"&amp;Errorlog_table[[#This Row],[System]]</f>
        <v>2025-06-10_06:49:00_CR51</v>
      </c>
      <c r="AE132" s="287" t="str">
        <f>Errorlog_table[[#This Row],[P_Hits]]</f>
        <v>N</v>
      </c>
      <c r="AF132" s="287">
        <v>0</v>
      </c>
    </row>
    <row r="133" spans="1:32" ht="28.5">
      <c r="A133" s="423" t="s">
        <v>4</v>
      </c>
      <c r="B133" s="287" t="str">
        <f>VLOOKUP(A133,'5000_Fleet'!A:D,2,FALSE)</f>
        <v>Intel</v>
      </c>
      <c r="C133" s="385" t="s">
        <v>434</v>
      </c>
      <c r="D133" s="287">
        <f>YEAR(DATE(YEAR(Errorlog_table[[#This Row],[Date]]-WEEKDAY(Errorlog_table[[#This Row],[Date]]-1)+4),1,1)-MOD((DATE(YEAR(Errorlog_table[[#This Row],[Date]]-WEEKDAY(Errorlog_table[[#This Row],[Date]]-1)+4),1,1)-2),7)+(7*IF(MOD((DATE(YEAR(Errorlog_table[[#This Row],[Date]]-WEEKDAY(Errorlog_table[[#This Row],[Date]]-1)+4),1,1)-2),7)&gt;3,1,0))+7)</f>
        <v>2025</v>
      </c>
      <c r="E133" s="415">
        <f>VALUE(TEXT(_xlfn.ISOWEEKNUM(Errorlog_table[[#This Row],[Date]]),"00"))</f>
        <v>24</v>
      </c>
      <c r="F133" s="416">
        <f>VALUE((Errorlog_table[[#This Row],[Year]])&amp;TEXT(Errorlog_table[[#This Row],[Week_Number]],"00"))</f>
        <v>202524</v>
      </c>
      <c r="G133" s="426">
        <v>45819</v>
      </c>
      <c r="H133" s="424">
        <v>0.3972222222222222</v>
      </c>
      <c r="I133" s="458" t="s">
        <v>614</v>
      </c>
      <c r="J133" s="385" t="str">
        <f>IF(LEN(VALUE(MID(Errorlog_table[[#This Row],[Description]],FIND(":",Errorlog_table[[#This Row],[Description]])+1,6)))&gt;1,MID(Errorlog_table[[#This Row],[Description]],FIND(":",Errorlog_table[[#This Row],[Description]])+1,6),"")</f>
        <v>123763</v>
      </c>
      <c r="K133" s="296">
        <v>6.42</v>
      </c>
      <c r="L133" s="423"/>
      <c r="M133" s="287">
        <v>53165239</v>
      </c>
      <c r="N133" s="427" t="s">
        <v>494</v>
      </c>
      <c r="O133" s="281" t="str">
        <f t="shared" si="8"/>
        <v>P870861</v>
      </c>
      <c r="P133" s="287">
        <f>LEN(Errorlog_table[[#This Row],[AIR]])</f>
        <v>7</v>
      </c>
      <c r="Q133" s="37" cm="1">
        <f t="array" ref="Q133">IF(OR(Errorlog_table[[#This Row],[AIR]]="n/a",Errorlog_table[[#This Row],[Event_code]]="Y"),"n/a",IF(Errorlog_table[[#This Row],[AIR]]="","no AIR",_xlfn.XLOOKUP(Errorlog_table[[#This Row],[AIR]],AIR_dump[[#All],[Number]],AIR_dump[[#All],[Type]],"not found",0,1)))</f>
        <v>0</v>
      </c>
      <c r="R133" s="420" t="str" cm="1">
        <f t="array" ref="R133">IF(OR(Errorlog_table[[#This Row],[AIR]]="n/a",Errorlog_table[[#This Row],[Event_code]]="Y"),"n/a",IF(Errorlog_table[[#This Row],[AIR]]="","no AIR",_xlfn.XLOOKUP(Errorlog_table[[#This Row],[AIR]],AIR_dump[[#All],[Number]],AIR_dump[[#All],[Summary]],"not found",0,1)))</f>
        <v>MMDC for X mutual crash protection can give false positive trips after MRE2OC calibration</v>
      </c>
      <c r="S133" s="385" t="str" cm="1">
        <f t="array" ref="S133">_xlfn.XLOOKUP(Errorlog_table[[#This Row],[AIR]],AIR_dump[[#All],[Number]],AIR_dump[[#All],[Close notes]])</f>
        <v>RCA</v>
      </c>
      <c r="T133" s="385">
        <f>Errorlog_table[[#This Row],[Year_Week_Number]]</f>
        <v>202524</v>
      </c>
      <c r="U133" s="421" t="s">
        <v>230</v>
      </c>
      <c r="V133" s="421" t="s">
        <v>230</v>
      </c>
      <c r="W133" s="421" t="str">
        <f>Errorlog_table[[#This Row],[System]]</f>
        <v>CR51</v>
      </c>
      <c r="X133" s="37" t="s">
        <v>615</v>
      </c>
      <c r="Y133" s="287" t="str">
        <f>Errorlog_table[[#This Row],[Root_Error]]</f>
        <v>RM-3246</v>
      </c>
      <c r="Z133" s="287" t="str">
        <f>Errorlog_table[[#This Row],[Description]]</f>
        <v xml:space="preserve">EpmID:123763| SCN - lot failed on RM-3246+REMA health check (Lot Abort) | RM-3246 | NotSet  </v>
      </c>
      <c r="AA133" s="287" t="str">
        <f t="shared" si="7"/>
        <v>Short down</v>
      </c>
      <c r="AB133" s="415">
        <f ca="1">_xlfn.ISOWEEKNUM(Errorlog_table[[#This Row],[Date]])+52*(Errorlog_table[[#This Row],[Year]]-YEAR(DATE(YEAR(TODAY()-WEEKDAY(TODAY()-1)+4),1,1)-MOD((DATE(YEAR(TODAY()-WEEKDAY(TODAY()-1)+4),1,1)-2),7)+(7*IF(MOD((DATE(YEAR(TODAY()-WEEKDAY(TODAY()-1)+4),1,1)-2),7)&gt;3,1,0))+7) )-_xlfn.ISOWEEKNUM(NOW())</f>
        <v>-13</v>
      </c>
      <c r="AC133" s="287">
        <f>COUNTIF(MTBF_pareto[AIR],Errorlog_table[[#This Row],[AIR]])</f>
        <v>0</v>
      </c>
      <c r="AD133" s="306" t="str">
        <f>TEXT(Errorlog_table[[#This Row],[Date]],"yyyy-mm-dd")&amp;"_"&amp;TEXT(Errorlog_table[[#This Row],[SDT_Timestamp]],"HH:MM:SS")&amp;"_"&amp;Errorlog_table[[#This Row],[System]]</f>
        <v>2025-06-11_09:32:00_CR51</v>
      </c>
      <c r="AE133" s="287" t="str">
        <f>Errorlog_table[[#This Row],[P_Hits]]</f>
        <v>Y</v>
      </c>
      <c r="AF133" s="287">
        <v>0</v>
      </c>
    </row>
    <row r="134" spans="1:32" ht="15">
      <c r="A134" s="423" t="s">
        <v>12</v>
      </c>
      <c r="B134" s="287" t="str">
        <f>VLOOKUP(A134,'5000_Fleet'!A:D,2,FALSE)</f>
        <v>TSMC</v>
      </c>
      <c r="C134" s="385" t="s">
        <v>616</v>
      </c>
      <c r="D134" s="287">
        <f>YEAR(DATE(YEAR(Errorlog_table[[#This Row],[Date]]-WEEKDAY(Errorlog_table[[#This Row],[Date]]-1)+4),1,1)-MOD((DATE(YEAR(Errorlog_table[[#This Row],[Date]]-WEEKDAY(Errorlog_table[[#This Row],[Date]]-1)+4),1,1)-2),7)+(7*IF(MOD((DATE(YEAR(Errorlog_table[[#This Row],[Date]]-WEEKDAY(Errorlog_table[[#This Row],[Date]]-1)+4),1,1)-2),7)&gt;3,1,0))+7)</f>
        <v>2025</v>
      </c>
      <c r="E134" s="415">
        <f>VALUE(TEXT(_xlfn.ISOWEEKNUM(Errorlog_table[[#This Row],[Date]]),"00"))</f>
        <v>24</v>
      </c>
      <c r="F134" s="416">
        <f>VALUE((Errorlog_table[[#This Row],[Year]])&amp;TEXT(Errorlog_table[[#This Row],[Week_Number]],"00"))</f>
        <v>202524</v>
      </c>
      <c r="G134" s="426">
        <v>45820</v>
      </c>
      <c r="H134" s="424">
        <v>0.77657407407407408</v>
      </c>
      <c r="I134" s="458" t="s">
        <v>617</v>
      </c>
      <c r="J134" s="385" t="e">
        <f>IF(LEN(VALUE(MID(Errorlog_table[[#This Row],[Description]],FIND(":",Errorlog_table[[#This Row],[Description]])+1,6)))&gt;1,MID(Errorlog_table[[#This Row],[Description]],FIND(":",Errorlog_table[[#This Row],[Description]])+1,6),"")</f>
        <v>#VALUE!</v>
      </c>
      <c r="K134" s="296">
        <v>0.55000000000000004</v>
      </c>
      <c r="L134" s="423"/>
      <c r="M134" s="287">
        <v>0</v>
      </c>
      <c r="N134" s="287" t="s">
        <v>618</v>
      </c>
      <c r="O134" s="281" t="str">
        <f t="shared" si="8"/>
        <v>RCA</v>
      </c>
      <c r="P134" s="287">
        <f>LEN(Errorlog_table[[#This Row],[AIR]])</f>
        <v>3</v>
      </c>
      <c r="Q134" s="37" t="str" cm="1">
        <f t="array" ref="Q134">IF(OR(Errorlog_table[[#This Row],[AIR]]="n/a",Errorlog_table[[#This Row],[Event_code]]="Y"),"n/a",IF(Errorlog_table[[#This Row],[AIR]]="","no AIR",_xlfn.XLOOKUP(Errorlog_table[[#This Row],[AIR]],AIR_dump[[#All],[Number]],AIR_dump[[#All],[Type]],"not found",0,1)))</f>
        <v>not found</v>
      </c>
      <c r="R134" s="428" t="str">
        <f>Errorlog_table[[#This Row],[Description]]</f>
        <v>BSLr-Overlay lot queue can not start</v>
      </c>
      <c r="S134" s="385" t="s">
        <v>619</v>
      </c>
      <c r="T134" s="385">
        <f>Errorlog_table[[#This Row],[Year_Week_Number]]</f>
        <v>202524</v>
      </c>
      <c r="U134" s="421" t="s">
        <v>239</v>
      </c>
      <c r="V134" s="421" t="s">
        <v>230</v>
      </c>
      <c r="W134" s="421" t="str">
        <f>Errorlog_table[[#This Row],[System]]</f>
        <v>GT69</v>
      </c>
      <c r="X134" s="385" t="s">
        <v>620</v>
      </c>
      <c r="Y134" s="287" t="str">
        <f>Errorlog_table[[#This Row],[Root_Error]]</f>
        <v>WX-803D</v>
      </c>
      <c r="Z134" s="287" t="str">
        <f>Errorlog_table[[#This Row],[Description]]</f>
        <v>BSLr-Overlay lot queue can not start</v>
      </c>
      <c r="AA134" s="287" t="str">
        <f t="shared" si="7"/>
        <v>Short down</v>
      </c>
      <c r="AB134" s="415">
        <f ca="1">_xlfn.ISOWEEKNUM(Errorlog_table[[#This Row],[Date]])+52*(Errorlog_table[[#This Row],[Year]]-YEAR(DATE(YEAR(TODAY()-WEEKDAY(TODAY()-1)+4),1,1)-MOD((DATE(YEAR(TODAY()-WEEKDAY(TODAY()-1)+4),1,1)-2),7)+(7*IF(MOD((DATE(YEAR(TODAY()-WEEKDAY(TODAY()-1)+4),1,1)-2),7)&gt;3,1,0))+7) )-_xlfn.ISOWEEKNUM(NOW())</f>
        <v>-13</v>
      </c>
      <c r="AC134" s="287">
        <f>COUNTIF(MTBF_pareto[AIR],Errorlog_table[[#This Row],[AIR]])</f>
        <v>0</v>
      </c>
      <c r="AD134" s="306" t="str">
        <f>TEXT(Errorlog_table[[#This Row],[Date]],"yyyy-mm-dd")&amp;"_"&amp;TEXT(Errorlog_table[[#This Row],[SDT_Timestamp]],"HH:MM:SS")&amp;"_"&amp;Errorlog_table[[#This Row],[System]]</f>
        <v>2025-06-12_18:38:16_GT69</v>
      </c>
      <c r="AE134" s="287" t="str">
        <f>Errorlog_table[[#This Row],[P_Hits]]</f>
        <v>N</v>
      </c>
      <c r="AF134" s="287">
        <v>0</v>
      </c>
    </row>
    <row r="135" spans="1:32" ht="28.5">
      <c r="A135" s="423" t="s">
        <v>4</v>
      </c>
      <c r="B135" s="287" t="str">
        <f>VLOOKUP(A135,'5000_Fleet'!A:D,2,FALSE)</f>
        <v>Intel</v>
      </c>
      <c r="C135" s="37" t="s">
        <v>621</v>
      </c>
      <c r="D135" s="287">
        <f>YEAR(DATE(YEAR(Errorlog_table[[#This Row],[Date]]-WEEKDAY(Errorlog_table[[#This Row],[Date]]-1)+4),1,1)-MOD((DATE(YEAR(Errorlog_table[[#This Row],[Date]]-WEEKDAY(Errorlog_table[[#This Row],[Date]]-1)+4),1,1)-2),7)+(7*IF(MOD((DATE(YEAR(Errorlog_table[[#This Row],[Date]]-WEEKDAY(Errorlog_table[[#This Row],[Date]]-1)+4),1,1)-2),7)&gt;3,1,0))+7)</f>
        <v>2025</v>
      </c>
      <c r="E135" s="415">
        <f>VALUE(TEXT(_xlfn.ISOWEEKNUM(Errorlog_table[[#This Row],[Date]]),"00"))</f>
        <v>25</v>
      </c>
      <c r="F135" s="416">
        <f>VALUE((Errorlog_table[[#This Row],[Year]])&amp;TEXT(Errorlog_table[[#This Row],[Week_Number]],"00"))</f>
        <v>202525</v>
      </c>
      <c r="G135" s="429">
        <v>45824</v>
      </c>
      <c r="H135" s="430" t="s">
        <v>622</v>
      </c>
      <c r="I135" s="460" t="s">
        <v>623</v>
      </c>
      <c r="J135" s="385" t="str">
        <f>IF(LEN(VALUE(MID(Errorlog_table[[#This Row],[Description]],FIND(":",Errorlog_table[[#This Row],[Description]])+1,6)))&gt;1,MID(Errorlog_table[[#This Row],[Description]],FIND(":",Errorlog_table[[#This Row],[Description]])+1,6),"")</f>
        <v>123923</v>
      </c>
      <c r="K135" s="431">
        <v>14.366667</v>
      </c>
      <c r="L135" t="s">
        <v>624</v>
      </c>
      <c r="M135" s="287">
        <v>53169138</v>
      </c>
      <c r="N135" s="287" t="s">
        <v>625</v>
      </c>
      <c r="O135" s="281" t="str">
        <f t="shared" si="8"/>
        <v>P889696</v>
      </c>
      <c r="P135" s="287">
        <f>LEN(Errorlog_table[[#This Row],[AIR]])</f>
        <v>7</v>
      </c>
      <c r="Q135" s="37" cm="1">
        <f t="array" ref="Q135">IF(OR(Errorlog_table[[#This Row],[AIR]]="n/a",Errorlog_table[[#This Row],[Event_code]]="Y"),"n/a",IF(Errorlog_table[[#This Row],[AIR]]="","no AIR",_xlfn.XLOOKUP(Errorlog_table[[#This Row],[AIR]],AIR_dump[[#All],[Number]],AIR_dump[[#All],[Type]],"not found",0,1)))</f>
        <v>0</v>
      </c>
      <c r="R135" s="420" t="str" cm="1">
        <f t="array" ref="R135">IF(OR(Errorlog_table[[#This Row],[AIR]]="n/a",Errorlog_table[[#This Row],[Event_code]]="Y"),"n/a",IF(Errorlog_table[[#This Row],[AIR]]="","no AIR",_xlfn.XLOOKUP(Errorlog_table[[#This Row],[AIR]],AIR_dump[[#All],[Number]],AIR_dump[[#All],[Summary]],"not found",0,1)))</f>
        <v>[EXE][GN93][Pil7] RETEX22 RELIAB queue failed on reticle unload - RU-14C5</v>
      </c>
      <c r="S135" s="385" t="str" cm="1">
        <f t="array" ref="S135">_xlfn.XLOOKUP(Errorlog_table[[#This Row],[AIR]],AIR_dump[[#All],[Number]],AIR_dump[[#All],[Close notes]])</f>
        <v>Monitoring waiting for next fail to load /reticle mis align(2 hits)</v>
      </c>
      <c r="T135" s="385">
        <f>Errorlog_table[[#This Row],[Year_Week_Number]]</f>
        <v>202525</v>
      </c>
      <c r="U135" s="421" t="s">
        <v>230</v>
      </c>
      <c r="V135" s="421" t="s">
        <v>230</v>
      </c>
      <c r="W135" s="421" t="str">
        <f>Errorlog_table[[#This Row],[System]]</f>
        <v>CR51</v>
      </c>
      <c r="X135" s="385" t="str">
        <f>Errorlog_table[[#This Row],[link]]</f>
        <v>P889696</v>
      </c>
      <c r="Y135" s="287" t="str">
        <f>Errorlog_table[[#This Row],[Root_Error]]</f>
        <v>RU-14C5</v>
      </c>
      <c r="Z135" s="287" t="str">
        <f>Errorlog_table[[#This Row],[Description]]</f>
        <v>EpmID:123923| SCN - Lot Abort RU-14C5+NJ-94D3 Laser HW Failure | RU-14C5 |</v>
      </c>
      <c r="AA135" s="287" t="str">
        <f t="shared" si="7"/>
        <v>XLD</v>
      </c>
      <c r="AB135" s="415">
        <f ca="1">_xlfn.ISOWEEKNUM(Errorlog_table[[#This Row],[Date]])+52*(Errorlog_table[[#This Row],[Year]]-YEAR(DATE(YEAR(TODAY()-WEEKDAY(TODAY()-1)+4),1,1)-MOD((DATE(YEAR(TODAY()-WEEKDAY(TODAY()-1)+4),1,1)-2),7)+(7*IF(MOD((DATE(YEAR(TODAY()-WEEKDAY(TODAY()-1)+4),1,1)-2),7)&gt;3,1,0))+7) )-_xlfn.ISOWEEKNUM(NOW())</f>
        <v>-12</v>
      </c>
      <c r="AC135" s="287">
        <f>COUNTIF(MTBF_pareto[AIR],Errorlog_table[[#This Row],[AIR]])</f>
        <v>0</v>
      </c>
      <c r="AD135" s="306" t="str">
        <f>TEXT(Errorlog_table[[#This Row],[Date]],"yyyy-mm-dd")&amp;"_"&amp;TEXT(Errorlog_table[[#This Row],[SDT_Timestamp]],"HH:MM:SS")&amp;"_"&amp;Errorlog_table[[#This Row],[System]]</f>
        <v>2025-06-16_03:22:00_CR51</v>
      </c>
      <c r="AE135" s="287" t="str">
        <f>Errorlog_table[[#This Row],[P_Hits]]</f>
        <v>Y</v>
      </c>
      <c r="AF135" s="287">
        <v>0</v>
      </c>
    </row>
    <row r="136" spans="1:32" ht="15">
      <c r="A136" s="423" t="s">
        <v>12</v>
      </c>
      <c r="B136" s="287" t="str">
        <f>VLOOKUP(A136,'5000_Fleet'!A:D,2,FALSE)</f>
        <v>TSMC</v>
      </c>
      <c r="C136" s="37" t="s">
        <v>626</v>
      </c>
      <c r="D136" s="287">
        <f>YEAR(DATE(YEAR(Errorlog_table[[#This Row],[Date]]-WEEKDAY(Errorlog_table[[#This Row],[Date]]-1)+4),1,1)-MOD((DATE(YEAR(Errorlog_table[[#This Row],[Date]]-WEEKDAY(Errorlog_table[[#This Row],[Date]]-1)+4),1,1)-2),7)+(7*IF(MOD((DATE(YEAR(Errorlog_table[[#This Row],[Date]]-WEEKDAY(Errorlog_table[[#This Row],[Date]]-1)+4),1,1)-2),7)&gt;3,1,0))+7)</f>
        <v>2025</v>
      </c>
      <c r="E136" s="415">
        <f>VALUE(TEXT(_xlfn.ISOWEEKNUM(Errorlog_table[[#This Row],[Date]]),"00"))</f>
        <v>25</v>
      </c>
      <c r="F136" s="416">
        <f>VALUE((Errorlog_table[[#This Row],[Year]])&amp;TEXT(Errorlog_table[[#This Row],[Week_Number]],"00"))</f>
        <v>202525</v>
      </c>
      <c r="G136" s="429">
        <v>45827</v>
      </c>
      <c r="H136" s="430" t="s">
        <v>627</v>
      </c>
      <c r="I136" s="460" t="s">
        <v>628</v>
      </c>
      <c r="J136" s="385" t="e">
        <f>IF(LEN(VALUE(MID(Errorlog_table[[#This Row],[Description]],FIND(":",Errorlog_table[[#This Row],[Description]])+1,6)))&gt;1,MID(Errorlog_table[[#This Row],[Description]],FIND(":",Errorlog_table[[#This Row],[Description]])+1,6),"")</f>
        <v>#VALUE!</v>
      </c>
      <c r="K136" s="431">
        <v>1.198056</v>
      </c>
      <c r="L136" t="s">
        <v>92</v>
      </c>
      <c r="M136" s="287">
        <v>53163700</v>
      </c>
      <c r="N136" s="37" t="s">
        <v>629</v>
      </c>
      <c r="O136" s="281" t="str">
        <f t="shared" si="8"/>
        <v>P892467</v>
      </c>
      <c r="P136" s="287">
        <f>LEN(Errorlog_table[[#This Row],[AIR]])</f>
        <v>7</v>
      </c>
      <c r="Q136" s="37" cm="1">
        <f t="array" ref="Q136">IF(OR(Errorlog_table[[#This Row],[AIR]]="n/a",Errorlog_table[[#This Row],[Event_code]]="Y"),"n/a",IF(Errorlog_table[[#This Row],[AIR]]="","no AIR",_xlfn.XLOOKUP(Errorlog_table[[#This Row],[AIR]],AIR_dump[[#All],[Number]],AIR_dump[[#All],[Type]],"not found",0,1)))</f>
        <v>0</v>
      </c>
      <c r="R136" s="420" t="str" cm="1">
        <f t="array" ref="R136">IF(OR(Errorlog_table[[#This Row],[AIR]]="n/a",Errorlog_table[[#This Row],[Event_code]]="Y"),"n/a",IF(Errorlog_table[[#This Row],[AIR]]="","no AIR",_xlfn.XLOOKUP(Errorlog_table[[#This Row],[AIR]],AIR_dump[[#All],[Number]],AIR_dump[[#All],[Summary]],"not found",0,1)))</f>
        <v>[GT69] Intermittent RH MMDC LDLK EIP PRS PLB Sensor</v>
      </c>
      <c r="S136" s="385" t="s">
        <v>630</v>
      </c>
      <c r="T136" s="385">
        <f>Errorlog_table[[#This Row],[Year_Week_Number]]</f>
        <v>202525</v>
      </c>
      <c r="U136" s="421" t="s">
        <v>239</v>
      </c>
      <c r="V136" s="421" t="s">
        <v>230</v>
      </c>
      <c r="W136" s="421" t="str">
        <f>Errorlog_table[[#This Row],[System]]</f>
        <v>GT69</v>
      </c>
      <c r="X136" s="385" t="str">
        <f>Errorlog_table[[#This Row],[link]]</f>
        <v>P892467</v>
      </c>
      <c r="Y136" s="287" t="str">
        <f>Errorlog_table[[#This Row],[Root_Error]]</f>
        <v>RU-4629</v>
      </c>
      <c r="Z136" s="287" t="str">
        <f>Errorlog_table[[#This Row],[Description]]</f>
        <v>RH LL PG Servo error</v>
      </c>
      <c r="AA136" s="287" t="str">
        <f t="shared" si="7"/>
        <v>Short down</v>
      </c>
      <c r="AB136" s="415">
        <f ca="1">_xlfn.ISOWEEKNUM(Errorlog_table[[#This Row],[Date]])+52*(Errorlog_table[[#This Row],[Year]]-YEAR(DATE(YEAR(TODAY()-WEEKDAY(TODAY()-1)+4),1,1)-MOD((DATE(YEAR(TODAY()-WEEKDAY(TODAY()-1)+4),1,1)-2),7)+(7*IF(MOD((DATE(YEAR(TODAY()-WEEKDAY(TODAY()-1)+4),1,1)-2),7)&gt;3,1,0))+7) )-_xlfn.ISOWEEKNUM(NOW())</f>
        <v>-12</v>
      </c>
      <c r="AC136" s="287">
        <f>COUNTIF(MTBF_pareto[AIR],Errorlog_table[[#This Row],[AIR]])</f>
        <v>0</v>
      </c>
      <c r="AD136" s="306" t="str">
        <f>TEXT(Errorlog_table[[#This Row],[Date]],"yyyy-mm-dd")&amp;"_"&amp;TEXT(Errorlog_table[[#This Row],[SDT_Timestamp]],"HH:MM:SS")&amp;"_"&amp;Errorlog_table[[#This Row],[System]]</f>
        <v>2025-06-19_18:23:16_GT69</v>
      </c>
      <c r="AE136" s="287" t="str">
        <f>Errorlog_table[[#This Row],[P_Hits]]</f>
        <v>N</v>
      </c>
      <c r="AF136" s="287">
        <v>0</v>
      </c>
    </row>
    <row r="137" spans="1:32" ht="15">
      <c r="A137" s="423" t="s">
        <v>4</v>
      </c>
      <c r="B137" s="287" t="str">
        <f>VLOOKUP(A137,'5000_Fleet'!A:D,2,FALSE)</f>
        <v>Intel</v>
      </c>
      <c r="C137" s="37" t="s">
        <v>631</v>
      </c>
      <c r="D137" s="287">
        <f>YEAR(DATE(YEAR(Errorlog_table[[#This Row],[Date]]-WEEKDAY(Errorlog_table[[#This Row],[Date]]-1)+4),1,1)-MOD((DATE(YEAR(Errorlog_table[[#This Row],[Date]]-WEEKDAY(Errorlog_table[[#This Row],[Date]]-1)+4),1,1)-2),7)+(7*IF(MOD((DATE(YEAR(Errorlog_table[[#This Row],[Date]]-WEEKDAY(Errorlog_table[[#This Row],[Date]]-1)+4),1,1)-2),7)&gt;3,1,0))+7)</f>
        <v>2025</v>
      </c>
      <c r="E137" s="415">
        <f>VALUE(TEXT(_xlfn.ISOWEEKNUM(Errorlog_table[[#This Row],[Date]]),"00"))</f>
        <v>25</v>
      </c>
      <c r="F137" s="416">
        <f>VALUE((Errorlog_table[[#This Row],[Year]])&amp;TEXT(Errorlog_table[[#This Row],[Week_Number]],"00"))</f>
        <v>202525</v>
      </c>
      <c r="G137" s="429">
        <v>45828</v>
      </c>
      <c r="H137" s="430" t="s">
        <v>632</v>
      </c>
      <c r="I137" s="460" t="s">
        <v>633</v>
      </c>
      <c r="J137" s="385" t="str">
        <f>IF(LEN(VALUE(MID(Errorlog_table[[#This Row],[Description]],FIND(":",Errorlog_table[[#This Row],[Description]])+1,6)))&gt;1,MID(Errorlog_table[[#This Row],[Description]],FIND(":",Errorlog_table[[#This Row],[Description]])+1,6),"")</f>
        <v>124617</v>
      </c>
      <c r="K137" s="431">
        <v>4.0999999999999996</v>
      </c>
      <c r="L137" t="s">
        <v>530</v>
      </c>
      <c r="M137" s="287">
        <v>53173690</v>
      </c>
      <c r="N137" s="427" t="s">
        <v>634</v>
      </c>
      <c r="O137" s="281" t="str">
        <f t="shared" si="8"/>
        <v>P897069</v>
      </c>
      <c r="P137" s="287">
        <f>LEN(Errorlog_table[[#This Row],[AIR]])</f>
        <v>7</v>
      </c>
      <c r="Q137" s="37" cm="1">
        <f t="array" ref="Q137">IF(OR(Errorlog_table[[#This Row],[AIR]]="n/a",Errorlog_table[[#This Row],[Event_code]]="Y"),"n/a",IF(Errorlog_table[[#This Row],[AIR]]="","no AIR",_xlfn.XLOOKUP(Errorlog_table[[#This Row],[AIR]],AIR_dump[[#All],[Number]],AIR_dump[[#All],[Type]],"not found",0,1)))</f>
        <v>0</v>
      </c>
      <c r="R137" s="420" t="str" cm="1">
        <f t="array" ref="R137">IF(OR(Errorlog_table[[#This Row],[AIR]]="n/a",Errorlog_table[[#This Row],[Event_code]]="Y"),"n/a",IF(Errorlog_table[[#This Row],[AIR]]="","no AIR",_xlfn.XLOOKUP(Errorlog_table[[#This Row],[AIR]],AIR_dump[[#All],[Number]],AIR_dump[[#All],[Summary]],"not found",0,1)))</f>
        <v xml:space="preserve">CR51 lot abort MOI-0045: SRC - Lot Abort for SRC Laser Control </v>
      </c>
      <c r="S137" s="385" t="str" cm="1">
        <f t="array" ref="S137">_xlfn.XLOOKUP(Errorlog_table[[#This Row],[AIR]],AIR_dump[[#All],[Number]],AIR_dump[[#All],[Close notes]])</f>
        <v>RCA monitoring</v>
      </c>
      <c r="T137" s="385">
        <f>Errorlog_table[[#This Row],[Year_Week_Number]]</f>
        <v>202525</v>
      </c>
      <c r="U137" s="421" t="s">
        <v>230</v>
      </c>
      <c r="V137" s="421" t="s">
        <v>230</v>
      </c>
      <c r="W137" s="421" t="str">
        <f>Errorlog_table[[#This Row],[System]]</f>
        <v>CR51</v>
      </c>
      <c r="X137" s="385" t="str">
        <f>Errorlog_table[[#This Row],[link]]</f>
        <v>P897069</v>
      </c>
      <c r="Y137" s="287" t="str">
        <f>Errorlog_table[[#This Row],[Root_Error]]</f>
        <v>MOI-0045</v>
      </c>
      <c r="Z137" s="287" t="str">
        <f>Errorlog_table[[#This Row],[Description]]</f>
        <v>EpmID:124617| SRC - Lot Abort for SRC Laser Control | MOI-0045 |</v>
      </c>
      <c r="AA137" s="287" t="str">
        <f t="shared" si="7"/>
        <v>Short down</v>
      </c>
      <c r="AB137" s="415">
        <f ca="1">_xlfn.ISOWEEKNUM(Errorlog_table[[#This Row],[Date]])+52*(Errorlog_table[[#This Row],[Year]]-YEAR(DATE(YEAR(TODAY()-WEEKDAY(TODAY()-1)+4),1,1)-MOD((DATE(YEAR(TODAY()-WEEKDAY(TODAY()-1)+4),1,1)-2),7)+(7*IF(MOD((DATE(YEAR(TODAY()-WEEKDAY(TODAY()-1)+4),1,1)-2),7)&gt;3,1,0))+7) )-_xlfn.ISOWEEKNUM(NOW())</f>
        <v>-12</v>
      </c>
      <c r="AC137" s="287">
        <f>COUNTIF(MTBF_pareto[AIR],Errorlog_table[[#This Row],[AIR]])</f>
        <v>0</v>
      </c>
      <c r="AD137" s="306" t="str">
        <f>TEXT(Errorlog_table[[#This Row],[Date]],"yyyy-mm-dd")&amp;"_"&amp;TEXT(Errorlog_table[[#This Row],[SDT_Timestamp]],"HH:MM:SS")&amp;"_"&amp;Errorlog_table[[#This Row],[System]]</f>
        <v>2025-06-20_09:08:00_CR51</v>
      </c>
      <c r="AE137" s="287" t="str">
        <f>Errorlog_table[[#This Row],[P_Hits]]</f>
        <v>Y</v>
      </c>
      <c r="AF137" s="287">
        <v>0</v>
      </c>
    </row>
    <row r="138" spans="1:32" ht="16.5" customHeight="1">
      <c r="A138" s="423" t="s">
        <v>12</v>
      </c>
      <c r="B138" s="287" t="str">
        <f>VLOOKUP(A138,'5000_Fleet'!A:D,2,FALSE)</f>
        <v>TSMC</v>
      </c>
      <c r="C138" t="s">
        <v>184</v>
      </c>
      <c r="D138" s="287">
        <f>YEAR(DATE(YEAR(Errorlog_table[[#This Row],[Date]]-WEEKDAY(Errorlog_table[[#This Row],[Date]]-1)+4),1,1)-MOD((DATE(YEAR(Errorlog_table[[#This Row],[Date]]-WEEKDAY(Errorlog_table[[#This Row],[Date]]-1)+4),1,1)-2),7)+(7*IF(MOD((DATE(YEAR(Errorlog_table[[#This Row],[Date]]-WEEKDAY(Errorlog_table[[#This Row],[Date]]-1)+4),1,1)-2),7)&gt;3,1,0))+7)</f>
        <v>2025</v>
      </c>
      <c r="E138" s="415">
        <f>VALUE(TEXT(_xlfn.ISOWEEKNUM(Errorlog_table[[#This Row],[Date]]),"00"))</f>
        <v>25</v>
      </c>
      <c r="F138" s="416">
        <f>VALUE((Errorlog_table[[#This Row],[Year]])&amp;TEXT(Errorlog_table[[#This Row],[Week_Number]],"00"))</f>
        <v>202525</v>
      </c>
      <c r="G138" s="429">
        <v>45828</v>
      </c>
      <c r="H138" s="430" t="s">
        <v>635</v>
      </c>
      <c r="I138" s="460" t="s">
        <v>636</v>
      </c>
      <c r="J138" s="385" t="e">
        <f>IF(LEN(VALUE(MID(Errorlog_table[[#This Row],[Description]],FIND(":",Errorlog_table[[#This Row],[Description]])+1,6)))&gt;1,MID(Errorlog_table[[#This Row],[Description]],FIND(":",Errorlog_table[[#This Row],[Description]])+1,6),"")</f>
        <v>#VALUE!</v>
      </c>
      <c r="K138" s="431">
        <v>3.15</v>
      </c>
      <c r="L138" t="s">
        <v>530</v>
      </c>
      <c r="M138" s="287">
        <v>53172635</v>
      </c>
      <c r="N138" s="287" t="s">
        <v>316</v>
      </c>
      <c r="O138" s="281" t="str">
        <f t="shared" si="8"/>
        <v>P817298</v>
      </c>
      <c r="P138" s="287">
        <f>LEN(Errorlog_table[[#This Row],[AIR]])</f>
        <v>7</v>
      </c>
      <c r="Q138" s="37" cm="1">
        <f t="array" ref="Q138">IF(OR(Errorlog_table[[#This Row],[AIR]]="n/a",Errorlog_table[[#This Row],[Event_code]]="Y"),"n/a",IF(Errorlog_table[[#This Row],[AIR]]="","no AIR",_xlfn.XLOOKUP(Errorlog_table[[#This Row],[AIR]],AIR_dump[[#All],[Number]],AIR_dump[[#All],[Type]],"not found",0,1)))</f>
        <v>0</v>
      </c>
      <c r="R138" s="420" t="str" cm="1">
        <f t="array" ref="R138">IF(OR(Errorlog_table[[#This Row],[AIR]]="n/a",Errorlog_table[[#This Row],[Event_code]]="Y"),"n/a",IF(Errorlog_table[[#This Row],[AIR]]="","no AIR",_xlfn.XLOOKUP(Errorlog_table[[#This Row],[AIR]],AIR_dump[[#All],[Number]],AIR_dump[[#All],[Summary]],"not found",0,1)))</f>
        <v>EQHBMI (Coarse POB Calibration) Fails due to [CN-00C0] Closed connection due to read timeo</v>
      </c>
      <c r="S138" s="385" t="str" cm="1">
        <f t="array" ref="S138">_xlfn.XLOOKUP(Errorlog_table[[#This Row],[AIR]],AIR_dump[[#All],[Number]],AIR_dump[[#All],[Close notes]])</f>
        <v>sp 22</v>
      </c>
      <c r="T138" s="385">
        <f>Errorlog_table[[#This Row],[Year_Week_Number]]</f>
        <v>202525</v>
      </c>
      <c r="U138" s="421" t="s">
        <v>230</v>
      </c>
      <c r="V138" s="421" t="s">
        <v>230</v>
      </c>
      <c r="W138" s="421" t="str">
        <f>Errorlog_table[[#This Row],[System]]</f>
        <v>GT69</v>
      </c>
      <c r="X138" s="385" t="str">
        <f>Errorlog_table[[#This Row],[link]]</f>
        <v>P817298</v>
      </c>
      <c r="Y138" s="287" t="str">
        <f>Errorlog_table[[#This Row],[Root_Error]]</f>
        <v>IS-1363</v>
      </c>
      <c r="Z138" s="287" t="str">
        <f>Errorlog_table[[#This Row],[Description]]</f>
        <v>Failed TIS scan fit sanity acceptance check / Run WPPD &amp; NJCAWS re-init</v>
      </c>
      <c r="AA138" s="287" t="str">
        <f t="shared" si="7"/>
        <v>Short down</v>
      </c>
      <c r="AB138" s="415">
        <f ca="1">_xlfn.ISOWEEKNUM(Errorlog_table[[#This Row],[Date]])+52*(Errorlog_table[[#This Row],[Year]]-YEAR(DATE(YEAR(TODAY()-WEEKDAY(TODAY()-1)+4),1,1)-MOD((DATE(YEAR(TODAY()-WEEKDAY(TODAY()-1)+4),1,1)-2),7)+(7*IF(MOD((DATE(YEAR(TODAY()-WEEKDAY(TODAY()-1)+4),1,1)-2),7)&gt;3,1,0))+7) )-_xlfn.ISOWEEKNUM(NOW())</f>
        <v>-12</v>
      </c>
      <c r="AC138" s="287">
        <f>COUNTIF(MTBF_pareto[AIR],Errorlog_table[[#This Row],[AIR]])</f>
        <v>0</v>
      </c>
      <c r="AD138" s="306" t="str">
        <f>TEXT(Errorlog_table[[#This Row],[Date]],"yyyy-mm-dd")&amp;"_"&amp;TEXT(Errorlog_table[[#This Row],[SDT_Timestamp]],"HH:MM:SS")&amp;"_"&amp;Errorlog_table[[#This Row],[System]]</f>
        <v>2025-06-20_06:53:08_GT69</v>
      </c>
      <c r="AE138" s="287" t="str">
        <f>Errorlog_table[[#This Row],[P_Hits]]</f>
        <v>Y</v>
      </c>
      <c r="AF138" s="287">
        <v>1</v>
      </c>
    </row>
    <row r="139" spans="1:32" ht="15">
      <c r="A139" s="423" t="s">
        <v>7</v>
      </c>
      <c r="B139" s="287" t="str">
        <f>VLOOKUP(A139,'5000_Fleet'!A:D,2,FALSE)</f>
        <v>Intel</v>
      </c>
      <c r="C139" s="37" t="s">
        <v>637</v>
      </c>
      <c r="D139" s="287">
        <f>YEAR(DATE(YEAR(Errorlog_table[[#This Row],[Date]]-WEEKDAY(Errorlog_table[[#This Row],[Date]]-1)+4),1,1)-MOD((DATE(YEAR(Errorlog_table[[#This Row],[Date]]-WEEKDAY(Errorlog_table[[#This Row],[Date]]-1)+4),1,1)-2),7)+(7*IF(MOD((DATE(YEAR(Errorlog_table[[#This Row],[Date]]-WEEKDAY(Errorlog_table[[#This Row],[Date]]-1)+4),1,1)-2),7)&gt;3,1,0))+7)</f>
        <v>2025</v>
      </c>
      <c r="E139" s="415">
        <f>VALUE(TEXT(_xlfn.ISOWEEKNUM(Errorlog_table[[#This Row],[Date]]),"00"))</f>
        <v>25</v>
      </c>
      <c r="F139" s="416">
        <f>VALUE((Errorlog_table[[#This Row],[Year]])&amp;TEXT(Errorlog_table[[#This Row],[Week_Number]],"00"))</f>
        <v>202525</v>
      </c>
      <c r="G139" s="429">
        <v>45829</v>
      </c>
      <c r="H139" s="430" t="s">
        <v>227</v>
      </c>
      <c r="I139" s="460" t="s">
        <v>638</v>
      </c>
      <c r="J139" s="385" t="str">
        <f>IF(LEN(VALUE(MID(Errorlog_table[[#This Row],[Description]],FIND(":",Errorlog_table[[#This Row],[Description]])+1,6)))&gt;1,MID(Errorlog_table[[#This Row],[Description]],FIND(":",Errorlog_table[[#This Row],[Description]])+1,6),"")</f>
        <v>124640</v>
      </c>
      <c r="K139" s="431">
        <v>9.1166669999999996</v>
      </c>
      <c r="L139" t="s">
        <v>110</v>
      </c>
      <c r="M139" s="287">
        <v>53174183</v>
      </c>
      <c r="N139" s="287" t="s">
        <v>639</v>
      </c>
      <c r="O139" s="281" t="str">
        <f t="shared" si="8"/>
        <v>P855852</v>
      </c>
      <c r="P139" s="287">
        <f>LEN(Errorlog_table[[#This Row],[AIR]])</f>
        <v>7</v>
      </c>
      <c r="Q139" s="37" cm="1">
        <f t="array" ref="Q139">IF(OR(Errorlog_table[[#This Row],[AIR]]="n/a",Errorlog_table[[#This Row],[Event_code]]="Y"),"n/a",IF(Errorlog_table[[#This Row],[AIR]]="","no AIR",_xlfn.XLOOKUP(Errorlog_table[[#This Row],[AIR]],AIR_dump[[#All],[Number]],AIR_dump[[#All],[Type]],"not found",0,1)))</f>
        <v>0</v>
      </c>
      <c r="R139" s="420" t="str" cm="1">
        <f t="array" ref="R139">IF(OR(Errorlog_table[[#This Row],[AIR]]="n/a",Errorlog_table[[#This Row],[Event_code]]="Y"),"n/a",IF(Errorlog_table[[#This Row],[AIR]]="","no AIR",_xlfn.XLOOKUP(Errorlog_table[[#This Row],[AIR]],AIR_dump[[#All],[Number]],AIR_dump[[#All],[Summary]],"not found",0,1)))</f>
        <v>[SF-4514] ALSC NOK caused AS-055A lot aborts</v>
      </c>
      <c r="S139" s="385" cm="1">
        <f t="array" ref="S139">_xlfn.XLOOKUP(Errorlog_table[[#This Row],[AIR]],AIR_dump[[#All],[Number]],AIR_dump[[#All],[Close notes]])</f>
        <v>0</v>
      </c>
      <c r="T139" s="385">
        <f>Errorlog_table[[#This Row],[Year_Week_Number]]</f>
        <v>202525</v>
      </c>
      <c r="U139" s="421" t="s">
        <v>230</v>
      </c>
      <c r="V139" s="421" t="s">
        <v>230</v>
      </c>
      <c r="W139" s="421" t="str">
        <f>Errorlog_table[[#This Row],[System]]</f>
        <v>GY86</v>
      </c>
      <c r="X139" s="385" t="str">
        <f>Errorlog_table[[#This Row],[link]]</f>
        <v>P855852</v>
      </c>
      <c r="Y139" s="287" t="str">
        <f>Errorlog_table[[#This Row],[Root_Error]]</f>
        <v>SF-4514</v>
      </c>
      <c r="Z139" s="287" t="str">
        <f>Errorlog_table[[#This Row],[Description]]</f>
        <v>EpmID:124640| SCN - Lot Abort for SF Error | SF-4514 |</v>
      </c>
      <c r="AA139" s="287" t="str">
        <f t="shared" si="7"/>
        <v>Short down</v>
      </c>
      <c r="AB139" s="415">
        <f ca="1">_xlfn.ISOWEEKNUM(Errorlog_table[[#This Row],[Date]])+52*(Errorlog_table[[#This Row],[Year]]-YEAR(DATE(YEAR(TODAY()-WEEKDAY(TODAY()-1)+4),1,1)-MOD((DATE(YEAR(TODAY()-WEEKDAY(TODAY()-1)+4),1,1)-2),7)+(7*IF(MOD((DATE(YEAR(TODAY()-WEEKDAY(TODAY()-1)+4),1,1)-2),7)&gt;3,1,0))+7) )-_xlfn.ISOWEEKNUM(NOW())</f>
        <v>-12</v>
      </c>
      <c r="AC139" s="287">
        <f>COUNTIF(MTBF_pareto[AIR],Errorlog_table[[#This Row],[AIR]])</f>
        <v>0</v>
      </c>
      <c r="AD139" s="306" t="str">
        <f>TEXT(Errorlog_table[[#This Row],[Date]],"yyyy-mm-dd")&amp;"_"&amp;TEXT(Errorlog_table[[#This Row],[SDT_Timestamp]],"HH:MM:SS")&amp;"_"&amp;Errorlog_table[[#This Row],[System]]</f>
        <v>2025-06-21_09:07:00_GY86</v>
      </c>
      <c r="AE139" s="287" t="str">
        <f>Errorlog_table[[#This Row],[P_Hits]]</f>
        <v>Y</v>
      </c>
      <c r="AF139" s="287">
        <v>0</v>
      </c>
    </row>
    <row r="140" spans="1:32" ht="15">
      <c r="A140" t="s">
        <v>7</v>
      </c>
      <c r="B140" s="287" t="str">
        <f>VLOOKUP(A140,'5000_Fleet'!A:D,2,FALSE)</f>
        <v>Intel</v>
      </c>
      <c r="C140" s="37" t="s">
        <v>650</v>
      </c>
      <c r="D140" s="287">
        <f>YEAR(DATE(YEAR(Errorlog_table[[#This Row],[Date]]-WEEKDAY(Errorlog_table[[#This Row],[Date]]-1)+4),1,1)-MOD((DATE(YEAR(Errorlog_table[[#This Row],[Date]]-WEEKDAY(Errorlog_table[[#This Row],[Date]]-1)+4),1,1)-2),7)+(7*IF(MOD((DATE(YEAR(Errorlog_table[[#This Row],[Date]]-WEEKDAY(Errorlog_table[[#This Row],[Date]]-1)+4),1,1)-2),7)&gt;3,1,0))+7)</f>
        <v>2025</v>
      </c>
      <c r="E140" s="415">
        <f>VALUE(TEXT(_xlfn.ISOWEEKNUM(Errorlog_table[[#This Row],[Date]]),"00"))</f>
        <v>26</v>
      </c>
      <c r="F140" s="416">
        <f>VALUE((Errorlog_table[[#This Row],[Year]])&amp;TEXT(Errorlog_table[[#This Row],[Week_Number]],"00"))</f>
        <v>202526</v>
      </c>
      <c r="G140" s="429">
        <v>45831</v>
      </c>
      <c r="H140" s="430" t="s">
        <v>651</v>
      </c>
      <c r="I140" s="460" t="s">
        <v>652</v>
      </c>
      <c r="J140" s="385" t="str">
        <f>IF(LEN(VALUE(MID(Errorlog_table[[#This Row],[Description]],FIND(":",Errorlog_table[[#This Row],[Description]])+1,6)))&gt;1,MID(Errorlog_table[[#This Row],[Description]],FIND(":",Errorlog_table[[#This Row],[Description]])+1,6),"")</f>
        <v>124896</v>
      </c>
      <c r="K140" s="431">
        <v>3.7</v>
      </c>
      <c r="L140" t="s">
        <v>530</v>
      </c>
      <c r="M140" s="287">
        <v>53175883</v>
      </c>
      <c r="N140" s="287"/>
      <c r="O140" s="281">
        <f t="shared" si="8"/>
        <v>53175883</v>
      </c>
      <c r="P140" s="287">
        <f>LEN(Errorlog_table[[#This Row],[AIR]])</f>
        <v>0</v>
      </c>
      <c r="Q140" s="37" t="str" cm="1">
        <f t="array" ref="Q140">IF(OR(Errorlog_table[[#This Row],[AIR]]="n/a",Errorlog_table[[#This Row],[Event_code]]="Y"),"n/a",IF(Errorlog_table[[#This Row],[AIR]]="","no AIR",_xlfn.XLOOKUP(Errorlog_table[[#This Row],[AIR]],AIR_dump[[#All],[Number]],AIR_dump[[#All],[Type]],"not found",0,1)))</f>
        <v>no AIR</v>
      </c>
      <c r="R140" s="420" t="s">
        <v>653</v>
      </c>
      <c r="S140" s="385" cm="1">
        <f t="array" ref="S140">_xlfn.XLOOKUP(Errorlog_table[[#This Row],[AIR]],AIR_dump[[#All],[Number]],AIR_dump[[#All],[Close notes]])</f>
        <v>0</v>
      </c>
      <c r="T140" s="385">
        <f>Errorlog_table[[#This Row],[Year_Week_Number]]</f>
        <v>202526</v>
      </c>
      <c r="U140" s="421" t="s">
        <v>230</v>
      </c>
      <c r="V140" s="421" t="s">
        <v>230</v>
      </c>
      <c r="W140" s="421" t="str">
        <f>Errorlog_table[[#This Row],[System]]</f>
        <v>GY86</v>
      </c>
      <c r="X140" s="385">
        <f>Errorlog_table[[#This Row],[link]]</f>
        <v>53175883</v>
      </c>
      <c r="Y140" s="287" t="str">
        <f>Errorlog_table[[#This Row],[Root_Error]]</f>
        <v>CN-00C0</v>
      </c>
      <c r="Z140" s="287" t="str">
        <f>Errorlog_table[[#This Row],[Description]]</f>
        <v>EpmID:124896| SCN - lot abort on CN-00C0 | CN-00C0 |</v>
      </c>
      <c r="AA140" s="287" t="str">
        <f t="shared" si="7"/>
        <v>Short down</v>
      </c>
      <c r="AB140" s="415">
        <f ca="1">_xlfn.ISOWEEKNUM(Errorlog_table[[#This Row],[Date]])+52*(Errorlog_table[[#This Row],[Year]]-YEAR(DATE(YEAR(TODAY()-WEEKDAY(TODAY()-1)+4),1,1)-MOD((DATE(YEAR(TODAY()-WEEKDAY(TODAY()-1)+4),1,1)-2),7)+(7*IF(MOD((DATE(YEAR(TODAY()-WEEKDAY(TODAY()-1)+4),1,1)-2),7)&gt;3,1,0))+7) )-_xlfn.ISOWEEKNUM(NOW())</f>
        <v>-11</v>
      </c>
      <c r="AC140" s="287">
        <f>COUNTIF(MTBF_pareto[AIR],Errorlog_table[[#This Row],[AIR]])</f>
        <v>0</v>
      </c>
      <c r="AD140" s="306" t="str">
        <f>TEXT(Errorlog_table[[#This Row],[Date]],"yyyy-mm-dd")&amp;"_"&amp;TEXT(Errorlog_table[[#This Row],[SDT_Timestamp]],"HH:MM:SS")&amp;"_"&amp;Errorlog_table[[#This Row],[System]]</f>
        <v>2025-06-23_15:12:00_GY86</v>
      </c>
      <c r="AE140" s="287" t="str">
        <f>Errorlog_table[[#This Row],[P_Hits]]</f>
        <v>Y</v>
      </c>
      <c r="AF140" s="287">
        <v>0</v>
      </c>
    </row>
    <row r="141" spans="1:32" ht="15">
      <c r="A141" t="s">
        <v>12</v>
      </c>
      <c r="B141" s="287" t="str">
        <f>VLOOKUP(A141,'5000_Fleet'!A:D,2,FALSE)</f>
        <v>TSMC</v>
      </c>
      <c r="C141" s="37" t="s">
        <v>186</v>
      </c>
      <c r="D141" s="287">
        <v>2025</v>
      </c>
      <c r="E141" s="415">
        <v>26</v>
      </c>
      <c r="F141" s="416">
        <f>VALUE((Errorlog_table[[#This Row],[Year]])&amp;TEXT(Errorlog_table[[#This Row],[Week_Number]],"00"))</f>
        <v>202526</v>
      </c>
      <c r="G141" s="429">
        <v>45832</v>
      </c>
      <c r="H141" s="430" t="s">
        <v>640</v>
      </c>
      <c r="I141" s="460" t="s">
        <v>641</v>
      </c>
      <c r="J141" s="37"/>
      <c r="K141" s="431">
        <v>1.2</v>
      </c>
      <c r="L141" s="423" t="s">
        <v>642</v>
      </c>
      <c r="M141" s="287">
        <v>53176225</v>
      </c>
      <c r="N141" s="287"/>
      <c r="O141" s="281">
        <f t="shared" si="8"/>
        <v>53176225</v>
      </c>
      <c r="P141" s="287">
        <f>LEN(Errorlog_table[[#This Row],[AIR]])</f>
        <v>0</v>
      </c>
      <c r="Q141" s="37" t="str" cm="1">
        <f t="array" ref="Q141">IF(OR(Errorlog_table[[#This Row],[AIR]]="n/a",Errorlog_table[[#This Row],[Event_code]]="Y"),"n/a",IF(Errorlog_table[[#This Row],[AIR]]="","no AIR",_xlfn.XLOOKUP(Errorlog_table[[#This Row],[AIR]],AIR_dump[[#All],[Number]],AIR_dump[[#All],[Type]],"not found",0,1)))</f>
        <v>no AIR</v>
      </c>
      <c r="R141" s="420" t="s">
        <v>643</v>
      </c>
      <c r="S141" s="385" cm="1">
        <f t="array" ref="S141">_xlfn.XLOOKUP(Errorlog_table[[#This Row],[AIR]],AIR_dump[[#All],[Number]],AIR_dump[[#All],[Close notes]])</f>
        <v>0</v>
      </c>
      <c r="T141" s="385">
        <f>Errorlog_table[[#This Row],[Year_Week_Number]]</f>
        <v>202526</v>
      </c>
      <c r="U141" s="421" t="s">
        <v>230</v>
      </c>
      <c r="V141" s="421" t="s">
        <v>230</v>
      </c>
      <c r="W141" s="421" t="str">
        <f>Errorlog_table[[#This Row],[System]]</f>
        <v>GT69</v>
      </c>
      <c r="X141" s="385">
        <f>Errorlog_table[[#This Row],[link]]</f>
        <v>53176225</v>
      </c>
      <c r="Y141" s="287" t="str">
        <f>Errorlog_table[[#This Row],[Root_Error]]</f>
        <v>CN-0001</v>
      </c>
      <c r="Z141" s="287" t="str">
        <f>Errorlog_table[[#This Row],[Description]]</f>
        <v>WH timeout</v>
      </c>
      <c r="AA141" s="287" t="str">
        <f t="shared" si="7"/>
        <v>Short down</v>
      </c>
      <c r="AB141" s="415">
        <f ca="1">_xlfn.ISOWEEKNUM(Errorlog_table[[#This Row],[Date]])+52*(Errorlog_table[[#This Row],[Year]]-YEAR(DATE(YEAR(TODAY()-WEEKDAY(TODAY()-1)+4),1,1)-MOD((DATE(YEAR(TODAY()-WEEKDAY(TODAY()-1)+4),1,1)-2),7)+(7*IF(MOD((DATE(YEAR(TODAY()-WEEKDAY(TODAY()-1)+4),1,1)-2),7)&gt;3,1,0))+7) )-_xlfn.ISOWEEKNUM(NOW())</f>
        <v>-11</v>
      </c>
      <c r="AC141" s="287">
        <f>COUNTIF(MTBF_pareto[AIR],Errorlog_table[[#This Row],[AIR]])</f>
        <v>0</v>
      </c>
      <c r="AD141" s="306" t="str">
        <f>TEXT(Errorlog_table[[#This Row],[Date]],"yyyy-mm-dd")&amp;"_"&amp;TEXT(Errorlog_table[[#This Row],[SDT_Timestamp]],"HH:MM:SS")&amp;"_"&amp;Errorlog_table[[#This Row],[System]]</f>
        <v>2025-06-24_08:19:10_GT69</v>
      </c>
      <c r="AE141" s="287" t="str">
        <f>Errorlog_table[[#This Row],[P_Hits]]</f>
        <v>Y</v>
      </c>
      <c r="AF141" s="287">
        <v>0</v>
      </c>
    </row>
    <row r="142" spans="1:32" ht="28.5">
      <c r="A142" t="s">
        <v>12</v>
      </c>
      <c r="B142" s="287" t="str">
        <f>VLOOKUP(A142,'5000_Fleet'!A:D,2,FALSE)</f>
        <v>TSMC</v>
      </c>
      <c r="C142" s="37" t="s">
        <v>181</v>
      </c>
      <c r="D142" s="287">
        <f>YEAR(DATE(YEAR(Errorlog_table[[#This Row],[Date]]-WEEKDAY(Errorlog_table[[#This Row],[Date]]-1)+4),1,1)-MOD((DATE(YEAR(Errorlog_table[[#This Row],[Date]]-WEEKDAY(Errorlog_table[[#This Row],[Date]]-1)+4),1,1)-2),7)+(7*IF(MOD((DATE(YEAR(Errorlog_table[[#This Row],[Date]]-WEEKDAY(Errorlog_table[[#This Row],[Date]]-1)+4),1,1)-2),7)&gt;3,1,0))+7)</f>
        <v>2025</v>
      </c>
      <c r="E142" s="415">
        <f>VALUE(TEXT(_xlfn.ISOWEEKNUM(Errorlog_table[[#This Row],[Date]]),"00"))</f>
        <v>26</v>
      </c>
      <c r="F142" s="416">
        <f>VALUE((Errorlog_table[[#This Row],[Year]])&amp;TEXT(Errorlog_table[[#This Row],[Week_Number]],"00"))</f>
        <v>202526</v>
      </c>
      <c r="G142" s="429">
        <v>45832</v>
      </c>
      <c r="H142" s="430" t="s">
        <v>292</v>
      </c>
      <c r="I142" s="460" t="s">
        <v>644</v>
      </c>
      <c r="J142" s="37"/>
      <c r="K142" s="431">
        <v>0.83805600000000002</v>
      </c>
      <c r="L142" s="423" t="s">
        <v>126</v>
      </c>
      <c r="M142" s="287">
        <v>53176903</v>
      </c>
      <c r="N142" s="287"/>
      <c r="O142" s="281">
        <f t="shared" si="8"/>
        <v>53176903</v>
      </c>
      <c r="P142" s="287">
        <f>LEN(Errorlog_table[[#This Row],[AIR]])</f>
        <v>0</v>
      </c>
      <c r="Q142" s="37" t="str" cm="1">
        <f t="array" ref="Q142">IF(OR(Errorlog_table[[#This Row],[AIR]]="n/a",Errorlog_table[[#This Row],[Event_code]]="Y"),"n/a",IF(Errorlog_table[[#This Row],[AIR]]="","no AIR",_xlfn.XLOOKUP(Errorlog_table[[#This Row],[AIR]],AIR_dump[[#All],[Number]],AIR_dump[[#All],[Type]],"not found",0,1)))</f>
        <v>no AIR</v>
      </c>
      <c r="R142" s="420" t="s">
        <v>645</v>
      </c>
      <c r="S142" s="385" cm="1">
        <f t="array" ref="S142">_xlfn.XLOOKUP(Errorlog_table[[#This Row],[AIR]],AIR_dump[[#All],[Number]],AIR_dump[[#All],[Close notes]])</f>
        <v>0</v>
      </c>
      <c r="T142" s="385">
        <f>Errorlog_table[[#This Row],[Year_Week_Number]]</f>
        <v>202526</v>
      </c>
      <c r="U142" s="421" t="s">
        <v>239</v>
      </c>
      <c r="V142" s="421" t="s">
        <v>230</v>
      </c>
      <c r="W142" s="421" t="str">
        <f>Errorlog_table[[#This Row],[System]]</f>
        <v>GT69</v>
      </c>
      <c r="X142" s="385">
        <f>Errorlog_table[[#This Row],[link]]</f>
        <v>53176903</v>
      </c>
      <c r="Y142" s="287" t="str">
        <f>Errorlog_table[[#This Row],[Root_Error]]</f>
        <v>PG-6208</v>
      </c>
      <c r="Z142" s="287" t="str">
        <f>Errorlog_table[[#This Row],[Description]]</f>
        <v>MLS&amp;IPT driver error</v>
      </c>
      <c r="AA142" s="287" t="str">
        <f t="shared" si="7"/>
        <v>Short down</v>
      </c>
      <c r="AB142" s="415">
        <f ca="1">_xlfn.ISOWEEKNUM(Errorlog_table[[#This Row],[Date]])+52*(Errorlog_table[[#This Row],[Year]]-YEAR(DATE(YEAR(TODAY()-WEEKDAY(TODAY()-1)+4),1,1)-MOD((DATE(YEAR(TODAY()-WEEKDAY(TODAY()-1)+4),1,1)-2),7)+(7*IF(MOD((DATE(YEAR(TODAY()-WEEKDAY(TODAY()-1)+4),1,1)-2),7)&gt;3,1,0))+7) )-_xlfn.ISOWEEKNUM(NOW())</f>
        <v>-11</v>
      </c>
      <c r="AC142" s="287">
        <f>COUNTIF(MTBF_pareto[AIR],Errorlog_table[[#This Row],[AIR]])</f>
        <v>0</v>
      </c>
      <c r="AD142" s="306" t="str">
        <f>TEXT(Errorlog_table[[#This Row],[Date]],"yyyy-mm-dd")&amp;"_"&amp;TEXT(Errorlog_table[[#This Row],[SDT_Timestamp]],"HH:MM:SS")&amp;"_"&amp;Errorlog_table[[#This Row],[System]]</f>
        <v>2025-06-24_18:00:00_GT69</v>
      </c>
      <c r="AE142" s="287" t="str">
        <f>Errorlog_table[[#This Row],[P_Hits]]</f>
        <v>N</v>
      </c>
      <c r="AF142" s="287">
        <v>0</v>
      </c>
    </row>
    <row r="143" spans="1:32" ht="28.5">
      <c r="A143" t="s">
        <v>4</v>
      </c>
      <c r="B143" s="287" t="str">
        <f>VLOOKUP(A143,'5000_Fleet'!A:D,2,FALSE)</f>
        <v>Intel</v>
      </c>
      <c r="C143" s="37" t="s">
        <v>654</v>
      </c>
      <c r="D143" s="287">
        <f>YEAR(DATE(YEAR(Errorlog_table[[#This Row],[Date]]-WEEKDAY(Errorlog_table[[#This Row],[Date]]-1)+4),1,1)-MOD((DATE(YEAR(Errorlog_table[[#This Row],[Date]]-WEEKDAY(Errorlog_table[[#This Row],[Date]]-1)+4),1,1)-2),7)+(7*IF(MOD((DATE(YEAR(Errorlog_table[[#This Row],[Date]]-WEEKDAY(Errorlog_table[[#This Row],[Date]]-1)+4),1,1)-2),7)&gt;3,1,0))+7)</f>
        <v>2025</v>
      </c>
      <c r="E143" s="415">
        <f>VALUE(TEXT(_xlfn.ISOWEEKNUM(Errorlog_table[[#This Row],[Date]]),"00"))</f>
        <v>26</v>
      </c>
      <c r="F143" s="416">
        <f>VALUE((Errorlog_table[[#This Row],[Year]])&amp;TEXT(Errorlog_table[[#This Row],[Week_Number]],"00"))</f>
        <v>202526</v>
      </c>
      <c r="G143" s="429">
        <v>45834</v>
      </c>
      <c r="H143" s="430" t="s">
        <v>655</v>
      </c>
      <c r="I143" s="460" t="s">
        <v>656</v>
      </c>
      <c r="J143" s="385" t="str">
        <f>IF(LEN(VALUE(MID(Errorlog_table[[#This Row],[Description]],FIND(":",Errorlog_table[[#This Row],[Description]])+1,6)))&gt;1,MID(Errorlog_table[[#This Row],[Description]],FIND(":",Errorlog_table[[#This Row],[Description]])+1,6),"")</f>
        <v>125345</v>
      </c>
      <c r="K143" s="431">
        <v>0.55000000000000004</v>
      </c>
      <c r="L143" t="s">
        <v>126</v>
      </c>
      <c r="M143" s="287">
        <v>53179636</v>
      </c>
      <c r="N143" s="287" t="s">
        <v>657</v>
      </c>
      <c r="O143" s="281" t="str">
        <f t="shared" si="8"/>
        <v>P691987</v>
      </c>
      <c r="P143" s="287">
        <f>LEN(Errorlog_table[[#This Row],[AIR]])</f>
        <v>7</v>
      </c>
      <c r="Q143" s="37" cm="1">
        <f t="array" ref="Q143">IF(OR(Errorlog_table[[#This Row],[AIR]]="n/a",Errorlog_table[[#This Row],[Event_code]]="Y"),"n/a",IF(Errorlog_table[[#This Row],[AIR]]="","no AIR",_xlfn.XLOOKUP(Errorlog_table[[#This Row],[AIR]],AIR_dump[[#All],[Number]],AIR_dump[[#All],[Type]],"not found",0,1)))</f>
        <v>0</v>
      </c>
      <c r="R143" s="420" t="str" cm="1">
        <f t="array" ref="R143">IF(OR(Errorlog_table[[#This Row],[AIR]]="n/a",Errorlog_table[[#This Row],[Event_code]]="Y"),"n/a",IF(Errorlog_table[[#This Row],[AIR]]="","no AIR",_xlfn.XLOOKUP(Errorlog_table[[#This Row],[AIR]],AIR_dump[[#All],[Number]],AIR_dump[[#All],[Summary]],"not found",0,1)))</f>
        <v>P691987 - (PTR1, XETR) IVR failed to init during reliability init/term cycling - Brake box internal</v>
      </c>
      <c r="S143" s="385" t="str" cm="1">
        <f t="array" ref="S143">_xlfn.XLOOKUP(Errorlog_table[[#This Row],[AIR]],AIR_dump[[#All],[Number]],AIR_dump[[#All],[Close notes]])</f>
        <v>RCA monitoring</v>
      </c>
      <c r="T143" s="385">
        <f>Errorlog_table[[#This Row],[Year_Week_Number]]</f>
        <v>202526</v>
      </c>
      <c r="U143" s="421" t="s">
        <v>230</v>
      </c>
      <c r="V143" s="421" t="s">
        <v>230</v>
      </c>
      <c r="W143" s="421" t="str">
        <f>Errorlog_table[[#This Row],[System]]</f>
        <v>CR51</v>
      </c>
      <c r="X143" s="385" t="str">
        <f>Errorlog_table[[#This Row],[link]]</f>
        <v>P691987</v>
      </c>
      <c r="Y143" s="287" t="str">
        <f>Errorlog_table[[#This Row],[Root_Error]]</f>
        <v>PG-73EA</v>
      </c>
      <c r="Z143" s="287" t="str">
        <f>Errorlog_table[[#This Row],[Description]]</f>
        <v>EpmID:125345| SCN - Lot abort IVR MMDC | PG-73EA |</v>
      </c>
      <c r="AA143" s="287" t="str">
        <f t="shared" si="7"/>
        <v>Short down</v>
      </c>
      <c r="AB143" s="415">
        <f ca="1">_xlfn.ISOWEEKNUM(Errorlog_table[[#This Row],[Date]])+52*(Errorlog_table[[#This Row],[Year]]-YEAR(DATE(YEAR(TODAY()-WEEKDAY(TODAY()-1)+4),1,1)-MOD((DATE(YEAR(TODAY()-WEEKDAY(TODAY()-1)+4),1,1)-2),7)+(7*IF(MOD((DATE(YEAR(TODAY()-WEEKDAY(TODAY()-1)+4),1,1)-2),7)&gt;3,1,0))+7) )-_xlfn.ISOWEEKNUM(NOW())</f>
        <v>-11</v>
      </c>
      <c r="AC143" s="287">
        <f>COUNTIF(MTBF_pareto[AIR],Errorlog_table[[#This Row],[AIR]])</f>
        <v>0</v>
      </c>
      <c r="AD143" s="306" t="str">
        <f>TEXT(Errorlog_table[[#This Row],[Date]],"yyyy-mm-dd")&amp;"_"&amp;TEXT(Errorlog_table[[#This Row],[SDT_Timestamp]],"HH:MM:SS")&amp;"_"&amp;Errorlog_table[[#This Row],[System]]</f>
        <v>2025-06-26_19:00:00_CR51</v>
      </c>
      <c r="AE143" s="287" t="str">
        <f>Errorlog_table[[#This Row],[P_Hits]]</f>
        <v>Y</v>
      </c>
      <c r="AF143" s="287">
        <v>0</v>
      </c>
    </row>
    <row r="144" spans="1:32" ht="28.5">
      <c r="A144" t="s">
        <v>12</v>
      </c>
      <c r="B144" s="287" t="str">
        <f>VLOOKUP(A144,'5000_Fleet'!A:D,2,FALSE)</f>
        <v>TSMC</v>
      </c>
      <c r="C144" s="37" t="s">
        <v>646</v>
      </c>
      <c r="D144" s="287">
        <f>YEAR(DATE(YEAR(Errorlog_table[[#This Row],[Date]]-WEEKDAY(Errorlog_table[[#This Row],[Date]]-1)+4),1,1)-MOD((DATE(YEAR(Errorlog_table[[#This Row],[Date]]-WEEKDAY(Errorlog_table[[#This Row],[Date]]-1)+4),1,1)-2),7)+(7*IF(MOD((DATE(YEAR(Errorlog_table[[#This Row],[Date]]-WEEKDAY(Errorlog_table[[#This Row],[Date]]-1)+4),1,1)-2),7)&gt;3,1,0))+7)</f>
        <v>2025</v>
      </c>
      <c r="E144" s="415">
        <f>VALUE(TEXT(_xlfn.ISOWEEKNUM(Errorlog_table[[#This Row],[Date]]),"00"))</f>
        <v>26</v>
      </c>
      <c r="F144" s="416">
        <f>VALUE((Errorlog_table[[#This Row],[Year]])&amp;TEXT(Errorlog_table[[#This Row],[Week_Number]],"00"))</f>
        <v>202526</v>
      </c>
      <c r="G144" s="429">
        <v>45835</v>
      </c>
      <c r="H144" s="430" t="s">
        <v>647</v>
      </c>
      <c r="I144" s="460" t="s">
        <v>648</v>
      </c>
      <c r="J144" s="37"/>
      <c r="K144" s="431">
        <v>21.727222000000001</v>
      </c>
      <c r="L144" s="423" t="s">
        <v>127</v>
      </c>
      <c r="M144" s="287">
        <v>53179413</v>
      </c>
      <c r="N144" s="287"/>
      <c r="O144" s="281">
        <f t="shared" si="8"/>
        <v>53179413</v>
      </c>
      <c r="P144" s="287">
        <f>LEN(Errorlog_table[[#This Row],[AIR]])</f>
        <v>0</v>
      </c>
      <c r="Q144" s="37" t="str" cm="1">
        <f t="array" ref="Q144">IF(OR(Errorlog_table[[#This Row],[AIR]]="n/a",Errorlog_table[[#This Row],[Event_code]]="Y"),"n/a",IF(Errorlog_table[[#This Row],[AIR]]="","no AIR",_xlfn.XLOOKUP(Errorlog_table[[#This Row],[AIR]],AIR_dump[[#All],[Number]],AIR_dump[[#All],[Type]],"not found",0,1)))</f>
        <v>no AIR</v>
      </c>
      <c r="R144" s="420" t="s">
        <v>649</v>
      </c>
      <c r="S144" s="385" cm="1">
        <f t="array" ref="S144">_xlfn.XLOOKUP(Errorlog_table[[#This Row],[AIR]],AIR_dump[[#All],[Number]],AIR_dump[[#All],[Close notes]])</f>
        <v>0</v>
      </c>
      <c r="T144" s="385">
        <f>Errorlog_table[[#This Row],[Year_Week_Number]]</f>
        <v>202526</v>
      </c>
      <c r="U144" s="421" t="s">
        <v>239</v>
      </c>
      <c r="V144" s="421" t="s">
        <v>230</v>
      </c>
      <c r="W144" s="421" t="str">
        <f>Errorlog_table[[#This Row],[System]]</f>
        <v>GT69</v>
      </c>
      <c r="X144" s="385">
        <f>Errorlog_table[[#This Row],[link]]</f>
        <v>53179413</v>
      </c>
      <c r="Y144" s="287" t="str">
        <f>Errorlog_table[[#This Row],[Root_Error]]</f>
        <v>SM-6003</v>
      </c>
      <c r="Z144" s="287" t="str">
        <f>Errorlog_table[[#This Row],[Description]]</f>
        <v>JNMW save failure / System restart</v>
      </c>
      <c r="AA144" s="287" t="str">
        <f t="shared" si="7"/>
        <v>XLD</v>
      </c>
      <c r="AB144" s="415">
        <f ca="1">_xlfn.ISOWEEKNUM(Errorlog_table[[#This Row],[Date]])+52*(Errorlog_table[[#This Row],[Year]]-YEAR(DATE(YEAR(TODAY()-WEEKDAY(TODAY()-1)+4),1,1)-MOD((DATE(YEAR(TODAY()-WEEKDAY(TODAY()-1)+4),1,1)-2),7)+(7*IF(MOD((DATE(YEAR(TODAY()-WEEKDAY(TODAY()-1)+4),1,1)-2),7)&gt;3,1,0))+7) )-_xlfn.ISOWEEKNUM(NOW())</f>
        <v>-11</v>
      </c>
      <c r="AC144" s="287">
        <f>COUNTIF(MTBF_pareto[AIR],Errorlog_table[[#This Row],[AIR]])</f>
        <v>0</v>
      </c>
      <c r="AD144" s="306" t="str">
        <f>TEXT(Errorlog_table[[#This Row],[Date]],"yyyy-mm-dd")&amp;"_"&amp;TEXT(Errorlog_table[[#This Row],[SDT_Timestamp]],"HH:MM:SS")&amp;"_"&amp;Errorlog_table[[#This Row],[System]]</f>
        <v>2025-06-27_00:50:24_GT69</v>
      </c>
      <c r="AE144" s="287" t="str">
        <f>Errorlog_table[[#This Row],[P_Hits]]</f>
        <v>N</v>
      </c>
      <c r="AF144" s="287">
        <v>0</v>
      </c>
    </row>
    <row r="145" spans="1:32" ht="15">
      <c r="A145" s="423" t="s">
        <v>4</v>
      </c>
      <c r="B145" s="287" t="str">
        <f>VLOOKUP(A145,'5000_Fleet'!A:D,2,FALSE)</f>
        <v>Intel</v>
      </c>
      <c r="C145" s="287" t="s">
        <v>659</v>
      </c>
      <c r="D145" s="287">
        <f>YEAR(DATE(YEAR(Errorlog_table[[#This Row],[Date]]-WEEKDAY(Errorlog_table[[#This Row],[Date]]-1)+4),1,1)-MOD((DATE(YEAR(Errorlog_table[[#This Row],[Date]]-WEEKDAY(Errorlog_table[[#This Row],[Date]]-1)+4),1,1)-2),7)+(7*IF(MOD((DATE(YEAR(Errorlog_table[[#This Row],[Date]]-WEEKDAY(Errorlog_table[[#This Row],[Date]]-1)+4),1,1)-2),7)&gt;3,1,0))+7)</f>
        <v>2025</v>
      </c>
      <c r="E145" s="415">
        <f>VALUE(TEXT(_xlfn.ISOWEEKNUM(Errorlog_table[[#This Row],[Date]]),"00"))</f>
        <v>27</v>
      </c>
      <c r="F145" s="416">
        <f>VALUE((Errorlog_table[[#This Row],[Year]])&amp;TEXT(Errorlog_table[[#This Row],[Week_Number]],"00"))</f>
        <v>202527</v>
      </c>
      <c r="G145" s="426">
        <v>45843</v>
      </c>
      <c r="H145" s="439">
        <v>0.83680555555555558</v>
      </c>
      <c r="I145" s="458" t="s">
        <v>660</v>
      </c>
      <c r="J145" s="385" t="str">
        <f>IF(LEN(VALUE(MID(Errorlog_table[[#This Row],[Description]],FIND(":",Errorlog_table[[#This Row],[Description]])+1,6)))&gt;1,MID(Errorlog_table[[#This Row],[Description]],FIND(":",Errorlog_table[[#This Row],[Description]])+1,6),"")</f>
        <v>126094</v>
      </c>
      <c r="K145" s="296">
        <v>2.58</v>
      </c>
      <c r="L145" s="423"/>
      <c r="M145" s="287">
        <v>53188036</v>
      </c>
      <c r="N145" s="287"/>
      <c r="O145" s="281">
        <f t="shared" si="8"/>
        <v>53188036</v>
      </c>
      <c r="P145" s="287">
        <f>LEN(Errorlog_table[[#This Row],[AIR]])</f>
        <v>0</v>
      </c>
      <c r="Q145" s="37" t="str" cm="1">
        <f t="array" ref="Q145">IF(OR(Errorlog_table[[#This Row],[AIR]]="n/a",Errorlog_table[[#This Row],[Event_code]]="Y"),"n/a",IF(Errorlog_table[[#This Row],[AIR]]="","no AIR",_xlfn.XLOOKUP(Errorlog_table[[#This Row],[AIR]],AIR_dump[[#All],[Number]],AIR_dump[[#All],[Type]],"not found",0,1)))</f>
        <v>no AIR</v>
      </c>
      <c r="R145" s="420" t="s">
        <v>661</v>
      </c>
      <c r="S145" s="385" cm="1">
        <f t="array" ref="S145">_xlfn.XLOOKUP(Errorlog_table[[#This Row],[AIR]],AIR_dump[[#All],[Number]],AIR_dump[[#All],[Close notes]])</f>
        <v>0</v>
      </c>
      <c r="T145" s="385">
        <f>Errorlog_table[[#This Row],[Year_Week_Number]]</f>
        <v>202527</v>
      </c>
      <c r="U145" s="421" t="s">
        <v>230</v>
      </c>
      <c r="V145" s="421" t="s">
        <v>230</v>
      </c>
      <c r="W145" s="421" t="str">
        <f>Errorlog_table[[#This Row],[System]]</f>
        <v>CR51</v>
      </c>
      <c r="X145" s="385">
        <f>Errorlog_table[[#This Row],[link]]</f>
        <v>53188036</v>
      </c>
      <c r="Y145" s="287" t="str">
        <f>Errorlog_table[[#This Row],[Root_Error]]</f>
        <v>LSA-0251</v>
      </c>
      <c r="Z145" s="287" t="str">
        <f>Errorlog_table[[#This Row],[Description]]</f>
        <v>EpmID:126094</v>
      </c>
      <c r="AA145" s="287" t="str">
        <f t="shared" si="7"/>
        <v>Short down</v>
      </c>
      <c r="AB145" s="415">
        <f ca="1">_xlfn.ISOWEEKNUM(Errorlog_table[[#This Row],[Date]])+52*(Errorlog_table[[#This Row],[Year]]-YEAR(DATE(YEAR(TODAY()-WEEKDAY(TODAY()-1)+4),1,1)-MOD((DATE(YEAR(TODAY()-WEEKDAY(TODAY()-1)+4),1,1)-2),7)+(7*IF(MOD((DATE(YEAR(TODAY()-WEEKDAY(TODAY()-1)+4),1,1)-2),7)&gt;3,1,0))+7) )-_xlfn.ISOWEEKNUM(NOW())</f>
        <v>-10</v>
      </c>
      <c r="AC145" s="287">
        <f>COUNTIF(MTBF_pareto[AIR],Errorlog_table[[#This Row],[AIR]])</f>
        <v>0</v>
      </c>
      <c r="AD145" s="306" t="str">
        <f>TEXT(Errorlog_table[[#This Row],[Date]],"yyyy-mm-dd")&amp;"_"&amp;TEXT(Errorlog_table[[#This Row],[SDT_Timestamp]],"HH:MM:SS")&amp;"_"&amp;Errorlog_table[[#This Row],[System]]</f>
        <v>2025-07-05_20:05:00_CR51</v>
      </c>
      <c r="AE145" s="287" t="str">
        <f>Errorlog_table[[#This Row],[P_Hits]]</f>
        <v>Y</v>
      </c>
      <c r="AF145" s="287">
        <v>0</v>
      </c>
    </row>
    <row r="146" spans="1:32" ht="28.5">
      <c r="A146" s="423" t="s">
        <v>4</v>
      </c>
      <c r="B146" s="287" t="str">
        <f>VLOOKUP(A146,'5000_Fleet'!A:D,2,FALSE)</f>
        <v>Intel</v>
      </c>
      <c r="C146" s="287" t="s">
        <v>497</v>
      </c>
      <c r="D146" s="287">
        <f>YEAR(DATE(YEAR(Errorlog_table[[#This Row],[Date]]-WEEKDAY(Errorlog_table[[#This Row],[Date]]-1)+4),1,1)-MOD((DATE(YEAR(Errorlog_table[[#This Row],[Date]]-WEEKDAY(Errorlog_table[[#This Row],[Date]]-1)+4),1,1)-2),7)+(7*IF(MOD((DATE(YEAR(Errorlog_table[[#This Row],[Date]]-WEEKDAY(Errorlog_table[[#This Row],[Date]]-1)+4),1,1)-2),7)&gt;3,1,0))+7)</f>
        <v>2025</v>
      </c>
      <c r="E146" s="415">
        <f>VALUE(TEXT(_xlfn.ISOWEEKNUM(Errorlog_table[[#This Row],[Date]]),"00"))</f>
        <v>27</v>
      </c>
      <c r="F146" s="416">
        <f>VALUE((Errorlog_table[[#This Row],[Year]])&amp;TEXT(Errorlog_table[[#This Row],[Week_Number]],"00"))</f>
        <v>202527</v>
      </c>
      <c r="G146" s="426">
        <v>45844</v>
      </c>
      <c r="H146" s="439">
        <v>0.96458333333333335</v>
      </c>
      <c r="I146" s="458" t="s">
        <v>658</v>
      </c>
      <c r="J146" s="385" t="str">
        <f>IF(LEN(VALUE(MID(Errorlog_table[[#This Row],[Description]],FIND(":",Errorlog_table[[#This Row],[Description]])+1,6)))&gt;1,MID(Errorlog_table[[#This Row],[Description]],FIND(":",Errorlog_table[[#This Row],[Description]])+1,6),"")</f>
        <v>126082</v>
      </c>
      <c r="K146" s="296">
        <v>0.27</v>
      </c>
      <c r="L146" s="423" t="s">
        <v>97</v>
      </c>
      <c r="M146" s="287">
        <v>53188984</v>
      </c>
      <c r="N146" s="287" t="s">
        <v>501</v>
      </c>
      <c r="O146" s="281" t="str">
        <f t="shared" si="8"/>
        <v>P820514</v>
      </c>
      <c r="P146" s="287">
        <f>LEN(Errorlog_table[[#This Row],[AIR]])</f>
        <v>7</v>
      </c>
      <c r="Q146" s="37" cm="1">
        <f t="array" ref="Q146">IF(OR(Errorlog_table[[#This Row],[AIR]]="n/a",Errorlog_table[[#This Row],[Event_code]]="Y"),"n/a",IF(Errorlog_table[[#This Row],[AIR]]="","no AIR",_xlfn.XLOOKUP(Errorlog_table[[#This Row],[AIR]],AIR_dump[[#All],[Number]],AIR_dump[[#All],[Type]],"not found",0,1)))</f>
        <v>0</v>
      </c>
      <c r="R146" s="420" t="str" cm="1">
        <f t="array" ref="R146">IF(OR(Errorlog_table[[#This Row],[AIR]]="n/a",Errorlog_table[[#This Row],[Event_code]]="Y"),"n/a",IF(Errorlog_table[[#This Row],[AIR]]="","no AIR",_xlfn.XLOOKUP(Errorlog_table[[#This Row],[AIR]],AIR_dump[[#All],[Number]],AIR_dump[[#All],[Summary]],"not found",0,1)))</f>
        <v>[GY86] PX-B6FC Laser amplifier error: HILA Response communication error detected.</v>
      </c>
      <c r="S146" s="385" t="str" cm="1">
        <f t="array" ref="S146">_xlfn.XLOOKUP(Errorlog_table[[#This Row],[AIR]],AIR_dump[[#All],[Number]],AIR_dump[[#All],[Close notes]])</f>
        <v>Target release SP23</v>
      </c>
      <c r="T146" s="385">
        <f>Errorlog_table[[#This Row],[Year_Week_Number]]</f>
        <v>202527</v>
      </c>
      <c r="U146" s="421" t="s">
        <v>230</v>
      </c>
      <c r="V146" s="421" t="s">
        <v>230</v>
      </c>
      <c r="W146" s="421" t="str">
        <f>Errorlog_table[[#This Row],[System]]</f>
        <v>CR51</v>
      </c>
      <c r="X146" s="385" t="str">
        <f>Errorlog_table[[#This Row],[link]]</f>
        <v>P820514</v>
      </c>
      <c r="Y146" s="287" t="str">
        <f>Errorlog_table[[#This Row],[Root_Error]]</f>
        <v>PX-B6FC</v>
      </c>
      <c r="Z146" s="287" t="str">
        <f>Errorlog_table[[#This Row],[Description]]</f>
        <v>EpmID:126082 | SCN - Lot Pause PX-B6FC</v>
      </c>
      <c r="AA146" s="287" t="str">
        <f t="shared" si="7"/>
        <v>Short down</v>
      </c>
      <c r="AB146" s="415">
        <f ca="1">_xlfn.ISOWEEKNUM(Errorlog_table[[#This Row],[Date]])+52*(Errorlog_table[[#This Row],[Year]]-YEAR(DATE(YEAR(TODAY()-WEEKDAY(TODAY()-1)+4),1,1)-MOD((DATE(YEAR(TODAY()-WEEKDAY(TODAY()-1)+4),1,1)-2),7)+(7*IF(MOD((DATE(YEAR(TODAY()-WEEKDAY(TODAY()-1)+4),1,1)-2),7)&gt;3,1,0))+7) )-_xlfn.ISOWEEKNUM(NOW())</f>
        <v>-10</v>
      </c>
      <c r="AC146" s="287">
        <f>COUNTIF(MTBF_pareto[AIR],Errorlog_table[[#This Row],[AIR]])</f>
        <v>0</v>
      </c>
      <c r="AD146" s="306" t="str">
        <f>TEXT(Errorlog_table[[#This Row],[Date]],"yyyy-mm-dd")&amp;"_"&amp;TEXT(Errorlog_table[[#This Row],[SDT_Timestamp]],"HH:MM:SS")&amp;"_"&amp;Errorlog_table[[#This Row],[System]]</f>
        <v>2025-07-06_23:09:00_CR51</v>
      </c>
      <c r="AE146" s="287" t="str">
        <f>Errorlog_table[[#This Row],[P_Hits]]</f>
        <v>Y</v>
      </c>
      <c r="AF146" s="287">
        <v>0</v>
      </c>
    </row>
    <row r="147" spans="1:32" ht="15">
      <c r="A147" s="436" t="s">
        <v>4</v>
      </c>
      <c r="B147" s="287" t="str">
        <f>VLOOKUP(A147,'5000_Fleet'!A:D,2,FALSE)</f>
        <v>Intel</v>
      </c>
      <c r="C147" s="432" t="s">
        <v>342</v>
      </c>
      <c r="D147" s="287">
        <f>YEAR(DATE(YEAR(Errorlog_table[[#This Row],[Date]]-WEEKDAY(Errorlog_table[[#This Row],[Date]]-1)+4),1,1)-MOD((DATE(YEAR(Errorlog_table[[#This Row],[Date]]-WEEKDAY(Errorlog_table[[#This Row],[Date]]-1)+4),1,1)-2),7)+(7*IF(MOD((DATE(YEAR(Errorlog_table[[#This Row],[Date]]-WEEKDAY(Errorlog_table[[#This Row],[Date]]-1)+4),1,1)-2),7)&gt;3,1,0))+7)</f>
        <v>2025</v>
      </c>
      <c r="E147" s="415">
        <f>VALUE(TEXT(_xlfn.ISOWEEKNUM(Errorlog_table[[#This Row],[Date]]),"00"))</f>
        <v>29</v>
      </c>
      <c r="F147" s="416">
        <f>VALUE((Errorlog_table[[#This Row],[Year]])&amp;TEXT(Errorlog_table[[#This Row],[Week_Number]],"00"))</f>
        <v>202529</v>
      </c>
      <c r="G147" s="433">
        <v>45852</v>
      </c>
      <c r="H147" s="434" t="s">
        <v>670</v>
      </c>
      <c r="I147" s="461" t="s">
        <v>671</v>
      </c>
      <c r="J147" s="385" t="str">
        <f>IF(LEN(VALUE(MID(Errorlog_table[[#This Row],[Description]],FIND(":",Errorlog_table[[#This Row],[Description]])+1,6)))&gt;1,MID(Errorlog_table[[#This Row],[Description]],FIND(":",Errorlog_table[[#This Row],[Description]])+1,6),"")</f>
        <v>127039</v>
      </c>
      <c r="K147" s="435">
        <v>13.216666999999999</v>
      </c>
      <c r="L147" s="436" t="s">
        <v>524</v>
      </c>
      <c r="M147" s="287">
        <v>53196092</v>
      </c>
      <c r="N147" s="287" t="s">
        <v>672</v>
      </c>
      <c r="O147" s="281" t="str">
        <f t="shared" si="8"/>
        <v>P756444</v>
      </c>
      <c r="P147" s="287">
        <f>LEN(Errorlog_table[[#This Row],[AIR]])</f>
        <v>7</v>
      </c>
      <c r="Q147" s="37" cm="1">
        <f t="array" ref="Q147">IF(OR(Errorlog_table[[#This Row],[AIR]]="n/a",Errorlog_table[[#This Row],[Event_code]]="Y"),"n/a",IF(Errorlog_table[[#This Row],[AIR]]="","no AIR",_xlfn.XLOOKUP(Errorlog_table[[#This Row],[AIR]],AIR_dump[[#All],[Number]],AIR_dump[[#All],[Type]],"not found",0,1)))</f>
        <v>0</v>
      </c>
      <c r="R147" s="420" t="str" cm="1">
        <f t="array" ref="R147">IF(OR(Errorlog_table[[#This Row],[AIR]]="n/a",Errorlog_table[[#This Row],[Event_code]]="Y"),"n/a",IF(Errorlog_table[[#This Row],[AIR]]="","no AIR",_xlfn.XLOOKUP(Errorlog_table[[#This Row],[AIR]],AIR_dump[[#All],[Number]],AIR_dump[[#All],[Summary]],"not found",0,1)))</f>
        <v>[VHV][Proto2] NJTL fails on tunable laser HW error NJ-94D3</v>
      </c>
      <c r="S147" s="385" t="str" cm="1">
        <f t="array" ref="S147">_xlfn.XLOOKUP(Errorlog_table[[#This Row],[AIR]],AIR_dump[[#All],[Number]],AIR_dump[[#All],[Close notes]])</f>
        <v>Overheating Laser</v>
      </c>
      <c r="T147" s="385">
        <f>Errorlog_table[[#This Row],[Year_Week_Number]]</f>
        <v>202529</v>
      </c>
      <c r="U147" s="421" t="s">
        <v>230</v>
      </c>
      <c r="V147" s="421" t="s">
        <v>230</v>
      </c>
      <c r="W147" s="421" t="str">
        <f>Errorlog_table[[#This Row],[System]]</f>
        <v>CR51</v>
      </c>
      <c r="X147" s="385" t="str">
        <f>Errorlog_table[[#This Row],[link]]</f>
        <v>P756444</v>
      </c>
      <c r="Y147" s="287" t="str">
        <f>Errorlog_table[[#This Row],[Root_Error]]</f>
        <v>KN-0605</v>
      </c>
      <c r="Z147" s="287" t="str">
        <f>Errorlog_table[[#This Row],[Description]]</f>
        <v>EpmID:127039| SCN - Lot Abort for KN-0605 Error | KN-0605 |</v>
      </c>
      <c r="AA147" s="287" t="str">
        <f t="shared" si="7"/>
        <v>XLD</v>
      </c>
      <c r="AB147" s="415">
        <f ca="1">_xlfn.ISOWEEKNUM(Errorlog_table[[#This Row],[Date]])+52*(Errorlog_table[[#This Row],[Year]]-YEAR(DATE(YEAR(TODAY()-WEEKDAY(TODAY()-1)+4),1,1)-MOD((DATE(YEAR(TODAY()-WEEKDAY(TODAY()-1)+4),1,1)-2),7)+(7*IF(MOD((DATE(YEAR(TODAY()-WEEKDAY(TODAY()-1)+4),1,1)-2),7)&gt;3,1,0))+7) )-_xlfn.ISOWEEKNUM(NOW())</f>
        <v>-8</v>
      </c>
      <c r="AC147" s="287">
        <f>COUNTIF(MTBF_pareto[AIR],Errorlog_table[[#This Row],[AIR]])</f>
        <v>0</v>
      </c>
      <c r="AD147" s="306" t="str">
        <f>TEXT(Errorlog_table[[#This Row],[Date]],"yyyy-mm-dd")&amp;"_"&amp;TEXT(Errorlog_table[[#This Row],[SDT_Timestamp]],"HH:MM:SS")&amp;"_"&amp;Errorlog_table[[#This Row],[System]]</f>
        <v>2025-07-14_19:10:00_CR51</v>
      </c>
      <c r="AE147" s="287" t="str">
        <f>Errorlog_table[[#This Row],[P_Hits]]</f>
        <v>Y</v>
      </c>
      <c r="AF147" s="287">
        <v>0</v>
      </c>
    </row>
    <row r="148" spans="1:32" ht="28.5">
      <c r="A148" s="436" t="s">
        <v>12</v>
      </c>
      <c r="B148" s="287" t="str">
        <f>VLOOKUP(A148,'5000_Fleet'!A:D,2,FALSE)</f>
        <v>TSMC</v>
      </c>
      <c r="C148" s="432" t="s">
        <v>530</v>
      </c>
      <c r="D148" s="287">
        <f>YEAR(DATE(YEAR(Errorlog_table[[#This Row],[Date]]-WEEKDAY(Errorlog_table[[#This Row],[Date]]-1)+4),1,1)-MOD((DATE(YEAR(Errorlog_table[[#This Row],[Date]]-WEEKDAY(Errorlog_table[[#This Row],[Date]]-1)+4),1,1)-2),7)+(7*IF(MOD((DATE(YEAR(Errorlog_table[[#This Row],[Date]]-WEEKDAY(Errorlog_table[[#This Row],[Date]]-1)+4),1,1)-2),7)&gt;3,1,0))+7)</f>
        <v>2025</v>
      </c>
      <c r="E148" s="415">
        <f>VALUE(TEXT(_xlfn.ISOWEEKNUM(Errorlog_table[[#This Row],[Date]]),"00"))</f>
        <v>29</v>
      </c>
      <c r="F148" s="416">
        <f>VALUE((Errorlog_table[[#This Row],[Year]])&amp;TEXT(Errorlog_table[[#This Row],[Week_Number]],"00"))</f>
        <v>202529</v>
      </c>
      <c r="G148" s="433">
        <v>45854</v>
      </c>
      <c r="H148" s="434" t="s">
        <v>662</v>
      </c>
      <c r="I148" s="461" t="s">
        <v>663</v>
      </c>
      <c r="J148" s="385" t="e">
        <f>IF(LEN(VALUE(MID(Errorlog_table[[#This Row],[Description]],FIND(":",Errorlog_table[[#This Row],[Description]])+1,6)))&gt;1,MID(Errorlog_table[[#This Row],[Description]],FIND(":",Errorlog_table[[#This Row],[Description]])+1,6),"")</f>
        <v>#VALUE!</v>
      </c>
      <c r="K148" s="435">
        <v>6.4647220000000001</v>
      </c>
      <c r="L148" s="436" t="s">
        <v>530</v>
      </c>
      <c r="M148" s="287">
        <v>53196805</v>
      </c>
      <c r="N148" s="287" t="s">
        <v>664</v>
      </c>
      <c r="O148" s="281" t="str">
        <f t="shared" si="8"/>
        <v>P833115</v>
      </c>
      <c r="P148" s="287">
        <f>LEN(Errorlog_table[[#This Row],[AIR]])</f>
        <v>7</v>
      </c>
      <c r="Q148" s="37" cm="1">
        <f t="array" ref="Q148">IF(OR(Errorlog_table[[#This Row],[AIR]]="n/a",Errorlog_table[[#This Row],[Event_code]]="Y"),"n/a",IF(Errorlog_table[[#This Row],[AIR]]="","no AIR",_xlfn.XLOOKUP(Errorlog_table[[#This Row],[AIR]],AIR_dump[[#All],[Number]],AIR_dump[[#All],[Type]],"not found",0,1)))</f>
        <v>0</v>
      </c>
      <c r="R148" s="420" t="str" cm="1">
        <f t="array" ref="R148">IF(OR(Errorlog_table[[#This Row],[AIR]]="n/a",Errorlog_table[[#This Row],[Event_code]]="Y"),"n/a",IF(Errorlog_table[[#This Row],[AIR]]="","no AIR",_xlfn.XLOOKUP(Errorlog_table[[#This Row],[AIR]],AIR_dump[[#All],[Number]],AIR_dump[[#All],[Summary]],"not found",0,1)))</f>
        <v>EXE 5000 POB Mini-setup (Phase 1: enable automatic triggering, include tilt dependencies)</v>
      </c>
      <c r="S148" s="385" t="str" cm="1">
        <f t="array" ref="S148">_xlfn.XLOOKUP(Errorlog_table[[#This Row],[AIR]],AIR_dump[[#All],[Number]],AIR_dump[[#All],[Close notes]])</f>
        <v>SP24 solution to include auto cal after init</v>
      </c>
      <c r="T148" s="385">
        <f>Errorlog_table[[#This Row],[Year_Week_Number]]</f>
        <v>202529</v>
      </c>
      <c r="U148" s="421" t="s">
        <v>239</v>
      </c>
      <c r="V148" s="421" t="s">
        <v>230</v>
      </c>
      <c r="W148" s="421" t="str">
        <f>Errorlog_table[[#This Row],[System]]</f>
        <v>GT69</v>
      </c>
      <c r="X148" s="385" t="str">
        <f>Errorlog_table[[#This Row],[link]]</f>
        <v>P833115</v>
      </c>
      <c r="Y148" s="287" t="str">
        <f>Errorlog_table[[#This Row],[Root_Error]]</f>
        <v>#ND#</v>
      </c>
      <c r="Z148" s="287" t="str">
        <f>Errorlog_table[[#This Row],[Description]]</f>
        <v>BSL abnormal / fingerprint Overlay unstable</v>
      </c>
      <c r="AA148" s="287" t="str">
        <f t="shared" si="7"/>
        <v>Short down</v>
      </c>
      <c r="AB148" s="415">
        <f ca="1">_xlfn.ISOWEEKNUM(Errorlog_table[[#This Row],[Date]])+52*(Errorlog_table[[#This Row],[Year]]-YEAR(DATE(YEAR(TODAY()-WEEKDAY(TODAY()-1)+4),1,1)-MOD((DATE(YEAR(TODAY()-WEEKDAY(TODAY()-1)+4),1,1)-2),7)+(7*IF(MOD((DATE(YEAR(TODAY()-WEEKDAY(TODAY()-1)+4),1,1)-2),7)&gt;3,1,0))+7) )-_xlfn.ISOWEEKNUM(NOW())</f>
        <v>-8</v>
      </c>
      <c r="AC148" s="287">
        <f>COUNTIF(MTBF_pareto[AIR],Errorlog_table[[#This Row],[AIR]])</f>
        <v>0</v>
      </c>
      <c r="AD148" s="306" t="str">
        <f>TEXT(Errorlog_table[[#This Row],[Date]],"yyyy-mm-dd")&amp;"_"&amp;TEXT(Errorlog_table[[#This Row],[SDT_Timestamp]],"HH:MM:SS")&amp;"_"&amp;Errorlog_table[[#This Row],[System]]</f>
        <v>2025-07-16_17:47:00_GT69</v>
      </c>
      <c r="AE148" s="287" t="str">
        <f>Errorlog_table[[#This Row],[P_Hits]]</f>
        <v>N</v>
      </c>
      <c r="AF148" s="287">
        <v>0</v>
      </c>
    </row>
    <row r="149" spans="1:32" ht="28.5">
      <c r="A149" s="436" t="s">
        <v>12</v>
      </c>
      <c r="B149" s="287" t="str">
        <f>VLOOKUP(A149,'5000_Fleet'!A:D,2,FALSE)</f>
        <v>TSMC</v>
      </c>
      <c r="C149" s="432" t="s">
        <v>530</v>
      </c>
      <c r="D149" s="287">
        <f>YEAR(DATE(YEAR(Errorlog_table[[#This Row],[Date]]-WEEKDAY(Errorlog_table[[#This Row],[Date]]-1)+4),1,1)-MOD((DATE(YEAR(Errorlog_table[[#This Row],[Date]]-WEEKDAY(Errorlog_table[[#This Row],[Date]]-1)+4),1,1)-2),7)+(7*IF(MOD((DATE(YEAR(Errorlog_table[[#This Row],[Date]]-WEEKDAY(Errorlog_table[[#This Row],[Date]]-1)+4),1,1)-2),7)&gt;3,1,0))+7)</f>
        <v>2025</v>
      </c>
      <c r="E149" s="415">
        <f>VALUE(TEXT(_xlfn.ISOWEEKNUM(Errorlog_table[[#This Row],[Date]]),"00"))</f>
        <v>29</v>
      </c>
      <c r="F149" s="416">
        <f>VALUE((Errorlog_table[[#This Row],[Year]])&amp;TEXT(Errorlog_table[[#This Row],[Week_Number]],"00"))</f>
        <v>202529</v>
      </c>
      <c r="G149" s="433">
        <v>45854</v>
      </c>
      <c r="H149" s="434" t="s">
        <v>665</v>
      </c>
      <c r="I149" s="461" t="s">
        <v>666</v>
      </c>
      <c r="J149" s="385" t="e">
        <f>IF(LEN(VALUE(MID(Errorlog_table[[#This Row],[Description]],FIND(":",Errorlog_table[[#This Row],[Description]])+1,6)))&gt;1,MID(Errorlog_table[[#This Row],[Description]],FIND(":",Errorlog_table[[#This Row],[Description]])+1,6),"")</f>
        <v>#VALUE!</v>
      </c>
      <c r="K149" s="435">
        <v>10.991944</v>
      </c>
      <c r="L149" s="436" t="s">
        <v>530</v>
      </c>
      <c r="M149" s="287">
        <v>53196805</v>
      </c>
      <c r="N149" s="301" t="s">
        <v>664</v>
      </c>
      <c r="O149" s="281" t="str">
        <f t="shared" si="8"/>
        <v>P833115</v>
      </c>
      <c r="P149" s="287">
        <f>LEN(Errorlog_table[[#This Row],[AIR]])</f>
        <v>7</v>
      </c>
      <c r="Q149" s="37" cm="1">
        <f t="array" ref="Q149">IF(OR(Errorlog_table[[#This Row],[AIR]]="n/a",Errorlog_table[[#This Row],[Event_code]]="Y"),"n/a",IF(Errorlog_table[[#This Row],[AIR]]="","no AIR",_xlfn.XLOOKUP(Errorlog_table[[#This Row],[AIR]],AIR_dump[[#All],[Number]],AIR_dump[[#All],[Type]],"not found",0,1)))</f>
        <v>0</v>
      </c>
      <c r="R149" s="420" t="str" cm="1">
        <f t="array" ref="R149">IF(OR(Errorlog_table[[#This Row],[AIR]]="n/a",Errorlog_table[[#This Row],[Event_code]]="Y"),"n/a",IF(Errorlog_table[[#This Row],[AIR]]="","no AIR",_xlfn.XLOOKUP(Errorlog_table[[#This Row],[AIR]],AIR_dump[[#All],[Number]],AIR_dump[[#All],[Summary]],"not found",0,1)))</f>
        <v>EXE 5000 POB Mini-setup (Phase 1: enable automatic triggering, include tilt dependencies)</v>
      </c>
      <c r="S149" s="385" t="str" cm="1">
        <f t="array" ref="S149">_xlfn.XLOOKUP(Errorlog_table[[#This Row],[AIR]],AIR_dump[[#All],[Number]],AIR_dump[[#All],[Close notes]])</f>
        <v>SP24 solution to include auto cal after init</v>
      </c>
      <c r="T149" s="385">
        <f>Errorlog_table[[#This Row],[Year_Week_Number]]</f>
        <v>202529</v>
      </c>
      <c r="U149" s="421" t="s">
        <v>239</v>
      </c>
      <c r="V149" s="421" t="s">
        <v>230</v>
      </c>
      <c r="W149" s="421" t="str">
        <f>Errorlog_table[[#This Row],[System]]</f>
        <v>GT69</v>
      </c>
      <c r="X149" s="385" t="str">
        <f>Errorlog_table[[#This Row],[link]]</f>
        <v>P833115</v>
      </c>
      <c r="Y149" s="287" t="str">
        <f>Errorlog_table[[#This Row],[Root_Error]]</f>
        <v>#ND#</v>
      </c>
      <c r="Z149" s="287" t="str">
        <f>Errorlog_table[[#This Row],[Description]]</f>
        <v>BSL abnormal / fingerprint</v>
      </c>
      <c r="AA149" s="287" t="str">
        <f t="shared" si="7"/>
        <v>Short down</v>
      </c>
      <c r="AB149" s="415">
        <f ca="1">_xlfn.ISOWEEKNUM(Errorlog_table[[#This Row],[Date]])+52*(Errorlog_table[[#This Row],[Year]]-YEAR(DATE(YEAR(TODAY()-WEEKDAY(TODAY()-1)+4),1,1)-MOD((DATE(YEAR(TODAY()-WEEKDAY(TODAY()-1)+4),1,1)-2),7)+(7*IF(MOD((DATE(YEAR(TODAY()-WEEKDAY(TODAY()-1)+4),1,1)-2),7)&gt;3,1,0))+7) )-_xlfn.ISOWEEKNUM(NOW())</f>
        <v>-8</v>
      </c>
      <c r="AC149" s="287">
        <f>COUNTIF(MTBF_pareto[AIR],Errorlog_table[[#This Row],[AIR]])</f>
        <v>0</v>
      </c>
      <c r="AD149" s="306" t="str">
        <f>TEXT(Errorlog_table[[#This Row],[Date]],"yyyy-mm-dd")&amp;"_"&amp;TEXT(Errorlog_table[[#This Row],[SDT_Timestamp]],"HH:MM:SS")&amp;"_"&amp;Errorlog_table[[#This Row],[System]]</f>
        <v>2025-07-16_01:00:29_GT69</v>
      </c>
      <c r="AE149" s="287" t="str">
        <f>Errorlog_table[[#This Row],[P_Hits]]</f>
        <v>N</v>
      </c>
      <c r="AF149" s="287">
        <v>0</v>
      </c>
    </row>
    <row r="150" spans="1:32" ht="28.5">
      <c r="A150" s="436" t="s">
        <v>4</v>
      </c>
      <c r="B150" s="287" t="str">
        <f>VLOOKUP(A150,'5000_Fleet'!A:D,2,FALSE)</f>
        <v>Intel</v>
      </c>
      <c r="C150" s="432" t="s">
        <v>673</v>
      </c>
      <c r="D150" s="287">
        <f>YEAR(DATE(YEAR(Errorlog_table[[#This Row],[Date]]-WEEKDAY(Errorlog_table[[#This Row],[Date]]-1)+4),1,1)-MOD((DATE(YEAR(Errorlog_table[[#This Row],[Date]]-WEEKDAY(Errorlog_table[[#This Row],[Date]]-1)+4),1,1)-2),7)+(7*IF(MOD((DATE(YEAR(Errorlog_table[[#This Row],[Date]]-WEEKDAY(Errorlog_table[[#This Row],[Date]]-1)+4),1,1)-2),7)&gt;3,1,0))+7)</f>
        <v>2025</v>
      </c>
      <c r="E150" s="415">
        <f>VALUE(TEXT(_xlfn.ISOWEEKNUM(Errorlog_table[[#This Row],[Date]]),"00"))</f>
        <v>29</v>
      </c>
      <c r="F150" s="416">
        <f>VALUE((Errorlog_table[[#This Row],[Year]])&amp;TEXT(Errorlog_table[[#This Row],[Week_Number]],"00"))</f>
        <v>202529</v>
      </c>
      <c r="G150" s="433">
        <v>45854</v>
      </c>
      <c r="H150" s="434" t="s">
        <v>674</v>
      </c>
      <c r="I150" s="461" t="s">
        <v>675</v>
      </c>
      <c r="J150" s="385" t="str">
        <f>IF(LEN(VALUE(MID(Errorlog_table[[#This Row],[Description]],FIND(":",Errorlog_table[[#This Row],[Description]])+1,6)))&gt;1,MID(Errorlog_table[[#This Row],[Description]],FIND(":",Errorlog_table[[#This Row],[Description]])+1,6),"")</f>
        <v>127427</v>
      </c>
      <c r="K150" s="435">
        <v>49.466667000000001</v>
      </c>
      <c r="L150" s="436" t="s">
        <v>113</v>
      </c>
      <c r="M150" s="287">
        <v>53197978</v>
      </c>
      <c r="N150" s="287" t="s">
        <v>676</v>
      </c>
      <c r="O150" s="281" t="str">
        <f t="shared" si="8"/>
        <v>P904073</v>
      </c>
      <c r="P150" s="287">
        <f>LEN(Errorlog_table[[#This Row],[AIR]])</f>
        <v>7</v>
      </c>
      <c r="Q150" s="37" cm="1">
        <f t="array" ref="Q150">IF(OR(Errorlog_table[[#This Row],[AIR]]="n/a",Errorlog_table[[#This Row],[Event_code]]="Y"),"n/a",IF(Errorlog_table[[#This Row],[AIR]]="","no AIR",_xlfn.XLOOKUP(Errorlog_table[[#This Row],[AIR]],AIR_dump[[#All],[Number]],AIR_dump[[#All],[Type]],"not found",0,1)))</f>
        <v>0</v>
      </c>
      <c r="R150" s="420" t="str" cm="1">
        <f t="array" ref="R150">IF(OR(Errorlog_table[[#This Row],[AIR]]="n/a",Errorlog_table[[#This Row],[Event_code]]="Y"),"n/a",IF(Errorlog_table[[#This Row],[AIR]]="","no AIR",_xlfn.XLOOKUP(Errorlog_table[[#This Row],[AIR]],AIR_dump[[#All],[Number]],AIR_dump[[#All],[Summary]],"not found",0,1)))</f>
        <v>LZ-321B UVLS purge pressure Oos during lot production. would only get wafer reject. Need to escalate to lot abort</v>
      </c>
      <c r="S150" s="385" t="str" cm="1">
        <f t="array" ref="S150">_xlfn.XLOOKUP(Errorlog_table[[#This Row],[AIR]],AIR_dump[[#All],[Number]],AIR_dump[[#All],[Close notes]])</f>
        <v>RCA monitoring</v>
      </c>
      <c r="T150" s="385">
        <f>Errorlog_table[[#This Row],[Year_Week_Number]]</f>
        <v>202529</v>
      </c>
      <c r="U150" s="421" t="s">
        <v>239</v>
      </c>
      <c r="V150" s="421" t="s">
        <v>230</v>
      </c>
      <c r="W150" s="421" t="str">
        <f>Errorlog_table[[#This Row],[System]]</f>
        <v>CR51</v>
      </c>
      <c r="X150" s="385" t="str">
        <f>Errorlog_table[[#This Row],[link]]</f>
        <v>P904073</v>
      </c>
      <c r="Y150" s="287" t="str">
        <f>Errorlog_table[[#This Row],[Root_Error]]</f>
        <v>LZ-321B</v>
      </c>
      <c r="Z150" s="287" t="str">
        <f>Errorlog_table[[#This Row],[Description]]</f>
        <v>EpmID:127427| SCN - LZ-321B lot abort | LZ-321B |</v>
      </c>
      <c r="AA150" s="287" t="str">
        <f t="shared" si="7"/>
        <v>XLD</v>
      </c>
      <c r="AB150" s="415">
        <f ca="1">_xlfn.ISOWEEKNUM(Errorlog_table[[#This Row],[Date]])+52*(Errorlog_table[[#This Row],[Year]]-YEAR(DATE(YEAR(TODAY()-WEEKDAY(TODAY()-1)+4),1,1)-MOD((DATE(YEAR(TODAY()-WEEKDAY(TODAY()-1)+4),1,1)-2),7)+(7*IF(MOD((DATE(YEAR(TODAY()-WEEKDAY(TODAY()-1)+4),1,1)-2),7)&gt;3,1,0))+7) )-_xlfn.ISOWEEKNUM(NOW())</f>
        <v>-8</v>
      </c>
      <c r="AC150" s="287">
        <f>COUNTIF(MTBF_pareto[AIR],Errorlog_table[[#This Row],[AIR]])</f>
        <v>0</v>
      </c>
      <c r="AD150" s="306" t="str">
        <f>TEXT(Errorlog_table[[#This Row],[Date]],"yyyy-mm-dd")&amp;"_"&amp;TEXT(Errorlog_table[[#This Row],[SDT_Timestamp]],"HH:MM:SS")&amp;"_"&amp;Errorlog_table[[#This Row],[System]]</f>
        <v>2025-07-16_14:20:00_CR51</v>
      </c>
      <c r="AE150" s="287" t="str">
        <f>Errorlog_table[[#This Row],[P_Hits]]</f>
        <v>N</v>
      </c>
      <c r="AF150" s="287">
        <v>0</v>
      </c>
    </row>
    <row r="151" spans="1:32" ht="28.5">
      <c r="A151" s="436" t="s">
        <v>4</v>
      </c>
      <c r="B151" s="287" t="str">
        <f>VLOOKUP(A151,'5000_Fleet'!A:D,2,FALSE)</f>
        <v>Intel</v>
      </c>
      <c r="C151" s="432" t="s">
        <v>621</v>
      </c>
      <c r="D151" s="287">
        <f>YEAR(DATE(YEAR(Errorlog_table[[#This Row],[Date]]-WEEKDAY(Errorlog_table[[#This Row],[Date]]-1)+4),1,1)-MOD((DATE(YEAR(Errorlog_table[[#This Row],[Date]]-WEEKDAY(Errorlog_table[[#This Row],[Date]]-1)+4),1,1)-2),7)+(7*IF(MOD((DATE(YEAR(Errorlog_table[[#This Row],[Date]]-WEEKDAY(Errorlog_table[[#This Row],[Date]]-1)+4),1,1)-2),7)&gt;3,1,0))+7)</f>
        <v>2025</v>
      </c>
      <c r="E151" s="415">
        <f>VALUE(TEXT(_xlfn.ISOWEEKNUM(Errorlog_table[[#This Row],[Date]]),"00"))</f>
        <v>29</v>
      </c>
      <c r="F151" s="416">
        <f>VALUE((Errorlog_table[[#This Row],[Year]])&amp;TEXT(Errorlog_table[[#This Row],[Week_Number]],"00"))</f>
        <v>202529</v>
      </c>
      <c r="G151" s="433">
        <v>45858</v>
      </c>
      <c r="H151" s="434" t="s">
        <v>667</v>
      </c>
      <c r="I151" s="461" t="s">
        <v>668</v>
      </c>
      <c r="J151" s="385" t="str">
        <f>IF(LEN(VALUE(MID(Errorlog_table[[#This Row],[Description]],FIND(":",Errorlog_table[[#This Row],[Description]])+1,6)))&gt;1,MID(Errorlog_table[[#This Row],[Description]],FIND(":",Errorlog_table[[#This Row],[Description]])+1,6),"")</f>
        <v>128536</v>
      </c>
      <c r="K151" s="435">
        <v>2.6333329999999999</v>
      </c>
      <c r="L151" s="436" t="s">
        <v>530</v>
      </c>
      <c r="M151" s="287">
        <v>53169138</v>
      </c>
      <c r="N151" s="287" t="s">
        <v>669</v>
      </c>
      <c r="O151" s="281" t="str">
        <f t="shared" si="8"/>
        <v>P907669</v>
      </c>
      <c r="P151" s="287">
        <f>LEN(Errorlog_table[[#This Row],[AIR]])</f>
        <v>7</v>
      </c>
      <c r="Q151" s="37" cm="1">
        <f t="array" ref="Q151">IF(OR(Errorlog_table[[#This Row],[AIR]]="n/a",Errorlog_table[[#This Row],[Event_code]]="Y"),"n/a",IF(Errorlog_table[[#This Row],[AIR]]="","no AIR",_xlfn.XLOOKUP(Errorlog_table[[#This Row],[AIR]],AIR_dump[[#All],[Number]],AIR_dump[[#All],[Type]],"not found",0,1)))</f>
        <v>0</v>
      </c>
      <c r="R151" s="420" t="str" cm="1">
        <f t="array" ref="R151">IF(OR(Errorlog_table[[#This Row],[AIR]]="n/a",Errorlog_table[[#This Row],[Event_code]]="Y"),"n/a",IF(Errorlog_table[[#This Row],[AIR]]="","no AIR",_xlfn.XLOOKUP(Errorlog_table[[#This Row],[AIR]],AIR_dump[[#All],[Number]],AIR_dump[[#All],[Summary]],"not found",0,1)))</f>
        <v>Reticle sticks to RS during Unload due to charged RS clamp and/or reticle backside</v>
      </c>
      <c r="S151" s="385" t="str" cm="1">
        <f t="array" ref="S151">_xlfn.XLOOKUP(Errorlog_table[[#This Row],[AIR]],AIR_dump[[#All],[Number]],AIR_dump[[#All],[Close notes]])</f>
        <v>Monitoring RCA</v>
      </c>
      <c r="T151" s="385">
        <f>Errorlog_table[[#This Row],[Year_Week_Number]]</f>
        <v>202529</v>
      </c>
      <c r="U151" s="421" t="s">
        <v>230</v>
      </c>
      <c r="V151" s="421" t="s">
        <v>230</v>
      </c>
      <c r="W151" s="421" t="str">
        <f>Errorlog_table[[#This Row],[System]]</f>
        <v>CR51</v>
      </c>
      <c r="X151" s="385" t="str">
        <f>Errorlog_table[[#This Row],[link]]</f>
        <v>P907669</v>
      </c>
      <c r="Y151" s="287" t="str">
        <f>Errorlog_table[[#This Row],[Root_Error]]</f>
        <v>RU-14C5</v>
      </c>
      <c r="Z151" s="287" t="str">
        <f>Errorlog_table[[#This Row],[Description]]</f>
        <v>EpmID:128536| SCN - Lot Abort RU-14C5 | RU-14C5 |</v>
      </c>
      <c r="AA151" s="287" t="str">
        <f t="shared" si="7"/>
        <v>Short down</v>
      </c>
      <c r="AB151" s="415">
        <f ca="1">_xlfn.ISOWEEKNUM(Errorlog_table[[#This Row],[Date]])+52*(Errorlog_table[[#This Row],[Year]]-YEAR(DATE(YEAR(TODAY()-WEEKDAY(TODAY()-1)+4),1,1)-MOD((DATE(YEAR(TODAY()-WEEKDAY(TODAY()-1)+4),1,1)-2),7)+(7*IF(MOD((DATE(YEAR(TODAY()-WEEKDAY(TODAY()-1)+4),1,1)-2),7)&gt;3,1,0))+7) )-_xlfn.ISOWEEKNUM(NOW())</f>
        <v>-8</v>
      </c>
      <c r="AC151" s="287">
        <f>COUNTIF(MTBF_pareto[AIR],Errorlog_table[[#This Row],[AIR]])</f>
        <v>0</v>
      </c>
      <c r="AD151" s="306" t="str">
        <f>TEXT(Errorlog_table[[#This Row],[Date]],"yyyy-mm-dd")&amp;"_"&amp;TEXT(Errorlog_table[[#This Row],[SDT_Timestamp]],"HH:MM:SS")&amp;"_"&amp;Errorlog_table[[#This Row],[System]]</f>
        <v>2025-07-20_17:40:00_CR51</v>
      </c>
      <c r="AE151" s="287" t="str">
        <f>Errorlog_table[[#This Row],[P_Hits]]</f>
        <v>Y</v>
      </c>
      <c r="AF151" s="287">
        <v>0</v>
      </c>
    </row>
    <row r="152" spans="1:32" ht="15">
      <c r="A152" s="423" t="s">
        <v>7</v>
      </c>
      <c r="B152" s="287" t="str">
        <f>VLOOKUP(A152,'5000_Fleet'!A:D,2,FALSE)</f>
        <v>Intel</v>
      </c>
      <c r="C152" s="37" t="s">
        <v>677</v>
      </c>
      <c r="D152" s="287">
        <f>YEAR(DATE(YEAR(Errorlog_table[[#This Row],[Date]]-WEEKDAY(Errorlog_table[[#This Row],[Date]]-1)+4),1,1)-MOD((DATE(YEAR(Errorlog_table[[#This Row],[Date]]-WEEKDAY(Errorlog_table[[#This Row],[Date]]-1)+4),1,1)-2),7)+(7*IF(MOD((DATE(YEAR(Errorlog_table[[#This Row],[Date]]-WEEKDAY(Errorlog_table[[#This Row],[Date]]-1)+4),1,1)-2),7)&gt;3,1,0))+7)</f>
        <v>2025</v>
      </c>
      <c r="E152" s="415">
        <f>VALUE(TEXT(_xlfn.ISOWEEKNUM(Errorlog_table[[#This Row],[Date]]),"00"))</f>
        <v>30</v>
      </c>
      <c r="F152" s="416">
        <f>VALUE((Errorlog_table[[#This Row],[Year]])&amp;TEXT(Errorlog_table[[#This Row],[Week_Number]],"00"))</f>
        <v>202530</v>
      </c>
      <c r="G152" s="440">
        <v>45859</v>
      </c>
      <c r="H152" s="12" t="s">
        <v>678</v>
      </c>
      <c r="I152" s="460" t="s">
        <v>679</v>
      </c>
      <c r="J152" s="385" t="str">
        <f>IF(LEN(VALUE(MID(Errorlog_table[[#This Row],[Description]],FIND(":",Errorlog_table[[#This Row],[Description]])+1,6)))&gt;1,MID(Errorlog_table[[#This Row],[Description]],FIND(":",Errorlog_table[[#This Row],[Description]])+1,6),"")</f>
        <v>128542</v>
      </c>
      <c r="K152" s="431">
        <v>2.6166670000000001</v>
      </c>
      <c r="L152" t="s">
        <v>530</v>
      </c>
      <c r="M152" s="287">
        <v>53201826</v>
      </c>
      <c r="N152" s="287" t="s">
        <v>680</v>
      </c>
      <c r="O152" s="409" t="str">
        <f t="shared" si="8"/>
        <v>P904929</v>
      </c>
      <c r="P152" s="287">
        <f>LEN(Errorlog_table[[#This Row],[AIR]])</f>
        <v>7</v>
      </c>
      <c r="Q152" s="37" cm="1">
        <f t="array" ref="Q152">IF(OR(Errorlog_table[[#This Row],[AIR]]="n/a",Errorlog_table[[#This Row],[Event_code]]="Y"),"n/a",IF(Errorlog_table[[#This Row],[AIR]]="","no AIR",_xlfn.XLOOKUP(Errorlog_table[[#This Row],[AIR]],AIR_dump[[#All],[Number]],AIR_dump[[#All],[Type]],"not found",0,1)))</f>
        <v>0</v>
      </c>
      <c r="R152" s="420" t="str" cm="1">
        <f t="array" ref="R152">IF(OR(Errorlog_table[[#This Row],[AIR]]="n/a",Errorlog_table[[#This Row],[Event_code]]="Y"),"n/a",IF(Errorlog_table[[#This Row],[AIR]]="","no AIR",_xlfn.XLOOKUP(Errorlog_table[[#This Row],[AIR]],AIR_dump[[#All],[Number]],AIR_dump[[#All],[Summary]],"not found",0,1)))</f>
        <v>mGY86 SWD RPAS performance is out of population</v>
      </c>
      <c r="S152" s="385" cm="1">
        <f t="array" ref="S152">_xlfn.XLOOKUP(Errorlog_table[[#This Row],[AIR]],AIR_dump[[#All],[Number]],AIR_dump[[#All],[Close notes]])</f>
        <v>0</v>
      </c>
      <c r="T152" s="385">
        <f>Errorlog_table[[#This Row],[Year_Week_Number]]</f>
        <v>202530</v>
      </c>
      <c r="U152" s="421" t="s">
        <v>230</v>
      </c>
      <c r="V152" s="421" t="s">
        <v>230</v>
      </c>
      <c r="W152" s="421" t="str">
        <f>Errorlog_table[[#This Row],[System]]</f>
        <v>GY86</v>
      </c>
      <c r="X152" s="385" t="str">
        <f>Errorlog_table[[#This Row],[link]]</f>
        <v>P904929</v>
      </c>
      <c r="Y152" s="287" t="str">
        <f>Errorlog_table[[#This Row],[Root_Error]]</f>
        <v>RU-1B75</v>
      </c>
      <c r="Z152" s="287" t="str">
        <f>Errorlog_table[[#This Row],[Description]]</f>
        <v>EpmID:128542| SCN - Lot Abort for RU-1B75 | RU-1B75 |</v>
      </c>
      <c r="AA152" s="287" t="str">
        <f t="shared" si="7"/>
        <v>Short down</v>
      </c>
      <c r="AB152" s="415">
        <f ca="1">_xlfn.ISOWEEKNUM(Errorlog_table[[#This Row],[Date]])+52*(Errorlog_table[[#This Row],[Year]]-YEAR(DATE(YEAR(TODAY()-WEEKDAY(TODAY()-1)+4),1,1)-MOD((DATE(YEAR(TODAY()-WEEKDAY(TODAY()-1)+4),1,1)-2),7)+(7*IF(MOD((DATE(YEAR(TODAY()-WEEKDAY(TODAY()-1)+4),1,1)-2),7)&gt;3,1,0))+7) )-_xlfn.ISOWEEKNUM(NOW())</f>
        <v>-7</v>
      </c>
      <c r="AC152" s="287">
        <f>COUNTIF(MTBF_pareto[AIR],Errorlog_table[[#This Row],[AIR]])</f>
        <v>0</v>
      </c>
      <c r="AD152" s="306" t="str">
        <f>TEXT(Errorlog_table[[#This Row],[Date]],"yyyy-mm-dd")&amp;"_"&amp;TEXT(Errorlog_table[[#This Row],[SDT_Timestamp]],"HH:MM:SS")&amp;"_"&amp;Errorlog_table[[#This Row],[System]]</f>
        <v>2025-07-21_03:50:00_GY86</v>
      </c>
      <c r="AE152" s="287" t="str">
        <f>Errorlog_table[[#This Row],[P_Hits]]</f>
        <v>Y</v>
      </c>
      <c r="AF152" s="287">
        <v>0</v>
      </c>
    </row>
    <row r="153" spans="1:32" ht="28.5">
      <c r="A153" s="423" t="s">
        <v>7</v>
      </c>
      <c r="B153" s="287" t="str">
        <f>VLOOKUP(A153,'5000_Fleet'!A:D,2,FALSE)</f>
        <v>Intel</v>
      </c>
      <c r="C153" t="s">
        <v>251</v>
      </c>
      <c r="D153" s="287">
        <f>YEAR(DATE(YEAR(Errorlog_table[[#This Row],[Date]]-WEEKDAY(Errorlog_table[[#This Row],[Date]]-1)+4),1,1)-MOD((DATE(YEAR(Errorlog_table[[#This Row],[Date]]-WEEKDAY(Errorlog_table[[#This Row],[Date]]-1)+4),1,1)-2),7)+(7*IF(MOD((DATE(YEAR(Errorlog_table[[#This Row],[Date]]-WEEKDAY(Errorlog_table[[#This Row],[Date]]-1)+4),1,1)-2),7)&gt;3,1,0))+7)</f>
        <v>2025</v>
      </c>
      <c r="E153" s="415">
        <f>VALUE(TEXT(_xlfn.ISOWEEKNUM(Errorlog_table[[#This Row],[Date]]),"00"))</f>
        <v>30</v>
      </c>
      <c r="F153" s="416">
        <f>VALUE((Errorlog_table[[#This Row],[Year]])&amp;TEXT(Errorlog_table[[#This Row],[Week_Number]],"00"))</f>
        <v>202530</v>
      </c>
      <c r="G153" s="440">
        <v>45861</v>
      </c>
      <c r="H153" s="12" t="s">
        <v>681</v>
      </c>
      <c r="I153" s="460" t="s">
        <v>682</v>
      </c>
      <c r="J153" s="385" t="str">
        <f>IF(LEN(VALUE(MID(Errorlog_table[[#This Row],[Description]],FIND(":",Errorlog_table[[#This Row],[Description]])+1,6)))&gt;1,MID(Errorlog_table[[#This Row],[Description]],FIND(":",Errorlog_table[[#This Row],[Description]])+1,6),"")</f>
        <v>129332</v>
      </c>
      <c r="K153" s="431">
        <v>1.7833330000000001</v>
      </c>
      <c r="L153" t="s">
        <v>126</v>
      </c>
      <c r="M153" s="287">
        <v>53204682</v>
      </c>
      <c r="N153" s="287" t="s">
        <v>271</v>
      </c>
      <c r="O153" s="409" t="str">
        <f t="shared" si="8"/>
        <v>P853275</v>
      </c>
      <c r="P153" s="287">
        <f>LEN(Errorlog_table[[#This Row],[AIR]])</f>
        <v>7</v>
      </c>
      <c r="Q153" s="37" cm="1">
        <f t="array" ref="Q153">IF(OR(Errorlog_table[[#This Row],[AIR]]="n/a",Errorlog_table[[#This Row],[Event_code]]="Y"),"n/a",IF(Errorlog_table[[#This Row],[AIR]]="","no AIR",_xlfn.XLOOKUP(Errorlog_table[[#This Row],[AIR]],AIR_dump[[#All],[Number]],AIR_dump[[#All],[Type]],"not found",0,1)))</f>
        <v>0</v>
      </c>
      <c r="R153" s="420" t="str" cm="1">
        <f t="array" ref="R153">IF(OR(Errorlog_table[[#This Row],[AIR]]="n/a",Errorlog_table[[#This Row],[Event_code]]="Y"),"n/a",IF(Errorlog_table[[#This Row],[AIR]]="","no AIR",_xlfn.XLOOKUP(Errorlog_table[[#This Row],[AIR]],AIR_dump[[#All],[Number]],AIR_dump[[#All],[Summary]],"not found",0,1)))</f>
        <v>P853275 - NXE:3800E and EXE:5000 Destination Violation Error ZH-221D</v>
      </c>
      <c r="S153" s="385" t="str" cm="1">
        <f t="array" ref="S153">_xlfn.XLOOKUP(Errorlog_table[[#This Row],[AIR]],AIR_dump[[#All],[Number]],AIR_dump[[#All],[Close notes]])</f>
        <v>Firmware delivered W19 (COB swap done)</v>
      </c>
      <c r="T153" s="385">
        <f>Errorlog_table[[#This Row],[Year_Week_Number]]</f>
        <v>202530</v>
      </c>
      <c r="U153" s="421" t="s">
        <v>230</v>
      </c>
      <c r="V153" s="421" t="s">
        <v>230</v>
      </c>
      <c r="W153" s="421" t="str">
        <f>Errorlog_table[[#This Row],[System]]</f>
        <v>GY86</v>
      </c>
      <c r="X153" s="385" t="str">
        <f>Errorlog_table[[#This Row],[link]]</f>
        <v>P853275</v>
      </c>
      <c r="Y153" s="287" t="str">
        <f>Errorlog_table[[#This Row],[Root_Error]]</f>
        <v>ZH-221D</v>
      </c>
      <c r="Z153" s="287" t="str">
        <f>Errorlog_table[[#This Row],[Description]]</f>
        <v>EpmID:129332| SCN - Lot error | ZH-221D |</v>
      </c>
      <c r="AA153" s="287" t="str">
        <f t="shared" si="7"/>
        <v>Short down</v>
      </c>
      <c r="AB153" s="415">
        <f ca="1">_xlfn.ISOWEEKNUM(Errorlog_table[[#This Row],[Date]])+52*(Errorlog_table[[#This Row],[Year]]-YEAR(DATE(YEAR(TODAY()-WEEKDAY(TODAY()-1)+4),1,1)-MOD((DATE(YEAR(TODAY()-WEEKDAY(TODAY()-1)+4),1,1)-2),7)+(7*IF(MOD((DATE(YEAR(TODAY()-WEEKDAY(TODAY()-1)+4),1,1)-2),7)&gt;3,1,0))+7) )-_xlfn.ISOWEEKNUM(NOW())</f>
        <v>-7</v>
      </c>
      <c r="AC153" s="287">
        <f>COUNTIF(MTBF_pareto[AIR],Errorlog_table[[#This Row],[AIR]])</f>
        <v>0</v>
      </c>
      <c r="AD153" s="306" t="str">
        <f>TEXT(Errorlog_table[[#This Row],[Date]],"yyyy-mm-dd")&amp;"_"&amp;TEXT(Errorlog_table[[#This Row],[SDT_Timestamp]],"HH:MM:SS")&amp;"_"&amp;Errorlog_table[[#This Row],[System]]</f>
        <v>2025-07-23_21:41:00_GY86</v>
      </c>
      <c r="AE153" s="287" t="str">
        <f>Errorlog_table[[#This Row],[P_Hits]]</f>
        <v>Y</v>
      </c>
      <c r="AF153" s="287">
        <v>1</v>
      </c>
    </row>
    <row r="154" spans="1:32" ht="15">
      <c r="A154" s="423" t="s">
        <v>12</v>
      </c>
      <c r="B154" s="287" t="str">
        <f>VLOOKUP(A154,'5000_Fleet'!A:D,2,FALSE)</f>
        <v>TSMC</v>
      </c>
      <c r="C154" s="37" t="s">
        <v>683</v>
      </c>
      <c r="D154" s="287">
        <f>YEAR(DATE(YEAR(Errorlog_table[[#This Row],[Date]]-WEEKDAY(Errorlog_table[[#This Row],[Date]]-1)+4),1,1)-MOD((DATE(YEAR(Errorlog_table[[#This Row],[Date]]-WEEKDAY(Errorlog_table[[#This Row],[Date]]-1)+4),1,1)-2),7)+(7*IF(MOD((DATE(YEAR(Errorlog_table[[#This Row],[Date]]-WEEKDAY(Errorlog_table[[#This Row],[Date]]-1)+4),1,1)-2),7)&gt;3,1,0))+7)</f>
        <v>2025</v>
      </c>
      <c r="E154" s="415">
        <f>VALUE(TEXT(_xlfn.ISOWEEKNUM(Errorlog_table[[#This Row],[Date]]),"00"))</f>
        <v>30</v>
      </c>
      <c r="F154" s="416">
        <f>VALUE((Errorlog_table[[#This Row],[Year]])&amp;TEXT(Errorlog_table[[#This Row],[Week_Number]],"00"))</f>
        <v>202530</v>
      </c>
      <c r="G154" s="440">
        <v>45861</v>
      </c>
      <c r="H154" s="12" t="s">
        <v>684</v>
      </c>
      <c r="I154" s="460" t="s">
        <v>685</v>
      </c>
      <c r="J154" s="385" t="e">
        <f>IF(LEN(VALUE(MID(Errorlog_table[[#This Row],[Description]],FIND(":",Errorlog_table[[#This Row],[Description]])+1,6)))&gt;1,MID(Errorlog_table[[#This Row],[Description]],FIND(":",Errorlog_table[[#This Row],[Description]])+1,6),"")</f>
        <v>#VALUE!</v>
      </c>
      <c r="K154" s="431">
        <v>0.85333300000000001</v>
      </c>
      <c r="L154" t="s">
        <v>530</v>
      </c>
      <c r="M154" s="287">
        <v>53163700</v>
      </c>
      <c r="N154" s="463" t="s">
        <v>629</v>
      </c>
      <c r="O154" s="409" t="str">
        <f t="shared" si="8"/>
        <v>P892467</v>
      </c>
      <c r="P154" s="287">
        <f>LEN(Errorlog_table[[#This Row],[AIR]])</f>
        <v>7</v>
      </c>
      <c r="Q154" s="37" cm="1">
        <f t="array" ref="Q154">IF(OR(Errorlog_table[[#This Row],[AIR]]="n/a",Errorlog_table[[#This Row],[Event_code]]="Y"),"n/a",IF(Errorlog_table[[#This Row],[AIR]]="","no AIR",_xlfn.XLOOKUP(Errorlog_table[[#This Row],[AIR]],AIR_dump[[#All],[Number]],AIR_dump[[#All],[Type]],"not found",0,1)))</f>
        <v>0</v>
      </c>
      <c r="R154" s="420" t="str" cm="1">
        <f t="array" ref="R154">IF(OR(Errorlog_table[[#This Row],[AIR]]="n/a",Errorlog_table[[#This Row],[Event_code]]="Y"),"n/a",IF(Errorlog_table[[#This Row],[AIR]]="","no AIR",_xlfn.XLOOKUP(Errorlog_table[[#This Row],[AIR]],AIR_dump[[#All],[Number]],AIR_dump[[#All],[Summary]],"not found",0,1)))</f>
        <v>[GT69] Intermittent RH MMDC LDLK EIP PRS PLB Sensor</v>
      </c>
      <c r="S154" s="385" t="s">
        <v>630</v>
      </c>
      <c r="T154" s="385">
        <f>Errorlog_table[[#This Row],[Year_Week_Number]]</f>
        <v>202530</v>
      </c>
      <c r="U154" s="421" t="s">
        <v>230</v>
      </c>
      <c r="V154" s="421" t="s">
        <v>230</v>
      </c>
      <c r="W154" s="421" t="str">
        <f>Errorlog_table[[#This Row],[System]]</f>
        <v>GT69</v>
      </c>
      <c r="X154" s="385" t="str">
        <f>Errorlog_table[[#This Row],[link]]</f>
        <v>P892467</v>
      </c>
      <c r="Y154" s="287" t="str">
        <f>Errorlog_table[[#This Row],[Root_Error]]</f>
        <v>RU-2B23</v>
      </c>
      <c r="Z154" s="287" t="str">
        <f>Errorlog_table[[#This Row],[Description]]</f>
        <v>LDLK2 EIP Presence and Placed Badly Reflective Sensor</v>
      </c>
      <c r="AA154" s="287" t="str">
        <f t="shared" si="7"/>
        <v>Short down</v>
      </c>
      <c r="AB154" s="415">
        <f ca="1">_xlfn.ISOWEEKNUM(Errorlog_table[[#This Row],[Date]])+52*(Errorlog_table[[#This Row],[Year]]-YEAR(DATE(YEAR(TODAY()-WEEKDAY(TODAY()-1)+4),1,1)-MOD((DATE(YEAR(TODAY()-WEEKDAY(TODAY()-1)+4),1,1)-2),7)+(7*IF(MOD((DATE(YEAR(TODAY()-WEEKDAY(TODAY()-1)+4),1,1)-2),7)&gt;3,1,0))+7) )-_xlfn.ISOWEEKNUM(NOW())</f>
        <v>-7</v>
      </c>
      <c r="AC154" s="287">
        <f>COUNTIF(MTBF_pareto[AIR],Errorlog_table[[#This Row],[AIR]])</f>
        <v>0</v>
      </c>
      <c r="AD154" s="306" t="str">
        <f>TEXT(Errorlog_table[[#This Row],[Date]],"yyyy-mm-dd")&amp;"_"&amp;TEXT(Errorlog_table[[#This Row],[SDT_Timestamp]],"HH:MM:SS")&amp;"_"&amp;Errorlog_table[[#This Row],[System]]</f>
        <v>2025-07-23_06:37:41_GT69</v>
      </c>
      <c r="AE154" s="287" t="str">
        <f>Errorlog_table[[#This Row],[P_Hits]]</f>
        <v>Y</v>
      </c>
      <c r="AF154" s="287">
        <v>0</v>
      </c>
    </row>
    <row r="155" spans="1:32" ht="28.5">
      <c r="A155" s="423" t="s">
        <v>12</v>
      </c>
      <c r="B155" s="287" t="str">
        <f>VLOOKUP(A155,'5000_Fleet'!A:D,2,FALSE)</f>
        <v>TSMC</v>
      </c>
      <c r="C155" s="37" t="s">
        <v>683</v>
      </c>
      <c r="D155" s="287">
        <f>YEAR(DATE(YEAR(Errorlog_table[[#This Row],[Date]]-WEEKDAY(Errorlog_table[[#This Row],[Date]]-1)+4),1,1)-MOD((DATE(YEAR(Errorlog_table[[#This Row],[Date]]-WEEKDAY(Errorlog_table[[#This Row],[Date]]-1)+4),1,1)-2),7)+(7*IF(MOD((DATE(YEAR(Errorlog_table[[#This Row],[Date]]-WEEKDAY(Errorlog_table[[#This Row],[Date]]-1)+4),1,1)-2),7)&gt;3,1,0))+7)</f>
        <v>2025</v>
      </c>
      <c r="E155" s="415">
        <f>VALUE(TEXT(_xlfn.ISOWEEKNUM(Errorlog_table[[#This Row],[Date]]),"00"))</f>
        <v>30</v>
      </c>
      <c r="F155" s="416">
        <f>VALUE((Errorlog_table[[#This Row],[Year]])&amp;TEXT(Errorlog_table[[#This Row],[Week_Number]],"00"))</f>
        <v>202530</v>
      </c>
      <c r="G155" s="440">
        <v>45861</v>
      </c>
      <c r="H155" s="12" t="s">
        <v>686</v>
      </c>
      <c r="I155" s="460" t="s">
        <v>687</v>
      </c>
      <c r="J155" s="385" t="e">
        <f>IF(LEN(VALUE(MID(Errorlog_table[[#This Row],[Description]],FIND(":",Errorlog_table[[#This Row],[Description]])+1,6)))&gt;1,MID(Errorlog_table[[#This Row],[Description]],FIND(":",Errorlog_table[[#This Row],[Description]])+1,6),"")</f>
        <v>#VALUE!</v>
      </c>
      <c r="K155" s="431">
        <v>5.9233330000000004</v>
      </c>
      <c r="L155" t="s">
        <v>530</v>
      </c>
      <c r="M155" s="287">
        <v>53179413</v>
      </c>
      <c r="N155" s="467" t="s">
        <v>688</v>
      </c>
      <c r="O155" s="409" t="str">
        <f t="shared" si="8"/>
        <v>P892057</v>
      </c>
      <c r="P155" s="287">
        <f>LEN(Errorlog_table[[#This Row],[AIR]])</f>
        <v>7</v>
      </c>
      <c r="Q155" s="37" cm="1">
        <f t="array" ref="Q155">IF(OR(Errorlog_table[[#This Row],[AIR]]="n/a",Errorlog_table[[#This Row],[Event_code]]="Y"),"n/a",IF(Errorlog_table[[#This Row],[AIR]]="","no AIR",_xlfn.XLOOKUP(Errorlog_table[[#This Row],[AIR]],AIR_dump[[#All],[Number]],AIR_dump[[#All],[Type]],"not found",0,1)))</f>
        <v>0</v>
      </c>
      <c r="R155" s="420" t="str" cm="1">
        <f t="array" ref="R155">IF(OR(Errorlog_table[[#This Row],[AIR]]="n/a",Errorlog_table[[#This Row],[Event_code]]="Y"),"n/a",IF(Errorlog_table[[#This Row],[AIR]]="","no AIR",_xlfn.XLOOKUP(Errorlog_table[[#This Row],[AIR]],AIR_dump[[#All],[Number]],AIR_dump[[#All],[Summary]],"not found",0,1)))</f>
        <v>System suffer RH-8550 data store mismatch after unload POD from LDPT2</v>
      </c>
      <c r="S155" s="385" t="s">
        <v>630</v>
      </c>
      <c r="T155" s="385">
        <f>Errorlog_table[[#This Row],[Year_Week_Number]]</f>
        <v>202530</v>
      </c>
      <c r="U155" s="421" t="s">
        <v>239</v>
      </c>
      <c r="V155" s="421" t="s">
        <v>230</v>
      </c>
      <c r="W155" s="421" t="str">
        <f>Errorlog_table[[#This Row],[System]]</f>
        <v>GT69</v>
      </c>
      <c r="X155" s="385" t="str">
        <f>Errorlog_table[[#This Row],[link]]</f>
        <v>P892057</v>
      </c>
      <c r="Y155" s="287" t="str">
        <f>Errorlog_table[[#This Row],[Root_Error]]</f>
        <v>RU-2B23</v>
      </c>
      <c r="Z155" s="287" t="str">
        <f>Errorlog_table[[#This Row],[Description]]</f>
        <v>LDLK2 EIP Presence and Placed Badly Reflective Sensor/LDLK2 EIP PRS PLB AMP swap</v>
      </c>
      <c r="AA155" s="287" t="str">
        <f t="shared" si="7"/>
        <v>Short down</v>
      </c>
      <c r="AB155" s="415">
        <f ca="1">_xlfn.ISOWEEKNUM(Errorlog_table[[#This Row],[Date]])+52*(Errorlog_table[[#This Row],[Year]]-YEAR(DATE(YEAR(TODAY()-WEEKDAY(TODAY()-1)+4),1,1)-MOD((DATE(YEAR(TODAY()-WEEKDAY(TODAY()-1)+4),1,1)-2),7)+(7*IF(MOD((DATE(YEAR(TODAY()-WEEKDAY(TODAY()-1)+4),1,1)-2),7)&gt;3,1,0))+7) )-_xlfn.ISOWEEKNUM(NOW())</f>
        <v>-7</v>
      </c>
      <c r="AC155" s="287">
        <f>COUNTIF(MTBF_pareto[AIR],Errorlog_table[[#This Row],[AIR]])</f>
        <v>0</v>
      </c>
      <c r="AD155" s="306" t="str">
        <f>TEXT(Errorlog_table[[#This Row],[Date]],"yyyy-mm-dd")&amp;"_"&amp;TEXT(Errorlog_table[[#This Row],[SDT_Timestamp]],"HH:MM:SS")&amp;"_"&amp;Errorlog_table[[#This Row],[System]]</f>
        <v>2025-07-23_08:00:28_GT69</v>
      </c>
      <c r="AE155" s="287" t="str">
        <f>Errorlog_table[[#This Row],[P_Hits]]</f>
        <v>N</v>
      </c>
      <c r="AF155" s="287">
        <v>0</v>
      </c>
    </row>
    <row r="156" spans="1:32" ht="28.5">
      <c r="A156" s="423" t="s">
        <v>4</v>
      </c>
      <c r="B156" s="287" t="str">
        <f>VLOOKUP(A156,'5000_Fleet'!A:D,2,FALSE)</f>
        <v>Intel</v>
      </c>
      <c r="C156" s="37" t="s">
        <v>621</v>
      </c>
      <c r="D156" s="287">
        <f>YEAR(DATE(YEAR(Errorlog_table[[#This Row],[Date]]-WEEKDAY(Errorlog_table[[#This Row],[Date]]-1)+4),1,1)-MOD((DATE(YEAR(Errorlog_table[[#This Row],[Date]]-WEEKDAY(Errorlog_table[[#This Row],[Date]]-1)+4),1,1)-2),7)+(7*IF(MOD((DATE(YEAR(Errorlog_table[[#This Row],[Date]]-WEEKDAY(Errorlog_table[[#This Row],[Date]]-1)+4),1,1)-2),7)&gt;3,1,0))+7)</f>
        <v>2025</v>
      </c>
      <c r="E156" s="415">
        <f>VALUE(TEXT(_xlfn.ISOWEEKNUM(Errorlog_table[[#This Row],[Date]]),"00"))</f>
        <v>30</v>
      </c>
      <c r="F156" s="416">
        <f>VALUE((Errorlog_table[[#This Row],[Year]])&amp;TEXT(Errorlog_table[[#This Row],[Week_Number]],"00"))</f>
        <v>202530</v>
      </c>
      <c r="G156" s="182">
        <v>45861</v>
      </c>
      <c r="H156" t="s">
        <v>697</v>
      </c>
      <c r="I156" t="s">
        <v>698</v>
      </c>
      <c r="J156" s="385" t="str">
        <f>IF(LEN(VALUE(MID(Errorlog_table[[#This Row],[Description]],FIND(":",Errorlog_table[[#This Row],[Description]])+1,6)))&gt;1,MID(Errorlog_table[[#This Row],[Description]],FIND(":",Errorlog_table[[#This Row],[Description]])+1,6),"")</f>
        <v>129119</v>
      </c>
      <c r="K156" s="37">
        <v>2.8</v>
      </c>
      <c r="L156" t="s">
        <v>530</v>
      </c>
      <c r="M156" s="287">
        <v>53204067</v>
      </c>
      <c r="N156" s="287" t="s">
        <v>669</v>
      </c>
      <c r="O156" s="281" t="str">
        <f t="shared" si="8"/>
        <v>P907669</v>
      </c>
      <c r="P156" s="287">
        <f>LEN(Errorlog_table[[#This Row],[AIR]])</f>
        <v>7</v>
      </c>
      <c r="Q156" s="37" cm="1">
        <f t="array" ref="Q156">IF(OR(Errorlog_table[[#This Row],[AIR]]="n/a",Errorlog_table[[#This Row],[Event_code]]="Y"),"n/a",IF(Errorlog_table[[#This Row],[AIR]]="","no AIR",_xlfn.XLOOKUP(Errorlog_table[[#This Row],[AIR]],AIR_dump[[#All],[Number]],AIR_dump[[#All],[Type]],"not found",0,1)))</f>
        <v>0</v>
      </c>
      <c r="R156" s="420" t="str" cm="1">
        <f t="array" ref="R156">IF(OR(Errorlog_table[[#This Row],[AIR]]="n/a",Errorlog_table[[#This Row],[Event_code]]="Y"),"n/a",IF(Errorlog_table[[#This Row],[AIR]]="","no AIR",_xlfn.XLOOKUP(Errorlog_table[[#This Row],[AIR]],AIR_dump[[#All],[Number]],AIR_dump[[#All],[Summary]],"not found",0,1)))</f>
        <v>Reticle sticks to RS during Unload due to charged RS clamp and/or reticle backside</v>
      </c>
      <c r="S156" s="385" t="str" cm="1">
        <f t="array" ref="S156">_xlfn.XLOOKUP(Errorlog_table[[#This Row],[AIR]],AIR_dump[[#All],[Number]],AIR_dump[[#All],[Close notes]])</f>
        <v>Monitoring RCA</v>
      </c>
      <c r="T156" s="385">
        <f>Errorlog_table[[#This Row],[Year_Week_Number]]</f>
        <v>202530</v>
      </c>
      <c r="U156" s="421" t="s">
        <v>230</v>
      </c>
      <c r="V156" s="421" t="s">
        <v>230</v>
      </c>
      <c r="W156" s="421" t="str">
        <f>Errorlog_table[[#This Row],[System]]</f>
        <v>CR51</v>
      </c>
      <c r="X156" s="385" t="str">
        <f>Errorlog_table[[#This Row],[link]]</f>
        <v>P907669</v>
      </c>
      <c r="Y156" s="287" t="str">
        <f>Errorlog_table[[#This Row],[Root_Error]]</f>
        <v>RU-14C5</v>
      </c>
      <c r="Z156" s="287" t="str">
        <f>Errorlog_table[[#This Row],[Description]]</f>
        <v>EpmID:129119| SCN - Lot abort due to RU-14C5 | RU-14C5 |</v>
      </c>
      <c r="AA156" s="287" t="str">
        <f t="shared" si="7"/>
        <v>Short down</v>
      </c>
      <c r="AB156" s="415">
        <f ca="1">_xlfn.ISOWEEKNUM(Errorlog_table[[#This Row],[Date]])+52*(Errorlog_table[[#This Row],[Year]]-YEAR(DATE(YEAR(TODAY()-WEEKDAY(TODAY()-1)+4),1,1)-MOD((DATE(YEAR(TODAY()-WEEKDAY(TODAY()-1)+4),1,1)-2),7)+(7*IF(MOD((DATE(YEAR(TODAY()-WEEKDAY(TODAY()-1)+4),1,1)-2),7)&gt;3,1,0))+7) )-_xlfn.ISOWEEKNUM(NOW())</f>
        <v>-7</v>
      </c>
      <c r="AC156" s="287">
        <f>COUNTIF(MTBF_pareto[AIR],Errorlog_table[[#This Row],[AIR]])</f>
        <v>0</v>
      </c>
      <c r="AD156" s="306" t="str">
        <f>TEXT(Errorlog_table[[#This Row],[Date]],"yyyy-mm-dd")&amp;"_"&amp;TEXT(Errorlog_table[[#This Row],[SDT_Timestamp]],"HH:MM:SS")&amp;"_"&amp;Errorlog_table[[#This Row],[System]]</f>
        <v>2025-07-23_06:06:00_CR51</v>
      </c>
      <c r="AE156" s="287" t="str">
        <f>Errorlog_table[[#This Row],[P_Hits]]</f>
        <v>Y</v>
      </c>
      <c r="AF156" s="287">
        <v>0</v>
      </c>
    </row>
    <row r="157" spans="1:32" ht="15">
      <c r="A157" s="423" t="s">
        <v>12</v>
      </c>
      <c r="B157" s="287" t="str">
        <f>VLOOKUP(A157,'5000_Fleet'!A:D,2,FALSE)</f>
        <v>TSMC</v>
      </c>
      <c r="C157" s="37" t="s">
        <v>693</v>
      </c>
      <c r="D157" s="287">
        <f>YEAR(DATE(YEAR(Errorlog_table[[#This Row],[Date]]-WEEKDAY(Errorlog_table[[#This Row],[Date]]-1)+4),1,1)-MOD((DATE(YEAR(Errorlog_table[[#This Row],[Date]]-WEEKDAY(Errorlog_table[[#This Row],[Date]]-1)+4),1,1)-2),7)+(7*IF(MOD((DATE(YEAR(Errorlog_table[[#This Row],[Date]]-WEEKDAY(Errorlog_table[[#This Row],[Date]]-1)+4),1,1)-2),7)&gt;3,1,0))+7)</f>
        <v>2025</v>
      </c>
      <c r="E157" s="415">
        <f>VALUE(TEXT(_xlfn.ISOWEEKNUM(Errorlog_table[[#This Row],[Date]]),"00"))</f>
        <v>30</v>
      </c>
      <c r="F157" s="416">
        <f>VALUE((Errorlog_table[[#This Row],[Year]])&amp;TEXT(Errorlog_table[[#This Row],[Week_Number]],"00"))</f>
        <v>202530</v>
      </c>
      <c r="G157" s="440">
        <v>45862</v>
      </c>
      <c r="H157" s="12" t="s">
        <v>694</v>
      </c>
      <c r="I157" s="460" t="s">
        <v>695</v>
      </c>
      <c r="J157" s="385" t="e">
        <f>IF(LEN(VALUE(MID(Errorlog_table[[#This Row],[Description]],FIND(":",Errorlog_table[[#This Row],[Description]])+1,6)))&gt;1,MID(Errorlog_table[[#This Row],[Description]],FIND(":",Errorlog_table[[#This Row],[Description]])+1,6),"")</f>
        <v>#VALUE!</v>
      </c>
      <c r="K157" s="431">
        <v>7.7136110000000002</v>
      </c>
      <c r="L157" t="s">
        <v>234</v>
      </c>
      <c r="M157" s="287">
        <v>53204135</v>
      </c>
      <c r="N157" s="423"/>
      <c r="O157" s="409">
        <f t="shared" si="8"/>
        <v>53204135</v>
      </c>
      <c r="P157" s="287">
        <f>LEN(Errorlog_table[[#This Row],[AIR]])</f>
        <v>0</v>
      </c>
      <c r="Q157" s="37" t="str" cm="1">
        <f t="array" ref="Q157">IF(OR(Errorlog_table[[#This Row],[AIR]]="n/a",Errorlog_table[[#This Row],[Event_code]]="Y"),"n/a",IF(Errorlog_table[[#This Row],[AIR]]="","no AIR",_xlfn.XLOOKUP(Errorlog_table[[#This Row],[AIR]],AIR_dump[[#All],[Number]],AIR_dump[[#All],[Type]],"not found",0,1)))</f>
        <v>no AIR</v>
      </c>
      <c r="R157" s="420" t="str" cm="1">
        <f t="array" ref="R157">IF(OR(Errorlog_table[[#This Row],[AIR]]="n/a",Errorlog_table[[#This Row],[Event_code]]="Y"),"n/a",IF(Errorlog_table[[#This Row],[AIR]]="","no AIR",_xlfn.XLOOKUP(Errorlog_table[[#This Row],[AIR]],AIR_dump[[#All],[Number]],AIR_dump[[#All],[Summary]],"not found",0,1)))</f>
        <v>no AIR</v>
      </c>
      <c r="S157" s="385" t="s">
        <v>696</v>
      </c>
      <c r="T157" s="385">
        <f>Errorlog_table[[#This Row],[Year_Week_Number]]</f>
        <v>202530</v>
      </c>
      <c r="U157" s="421" t="s">
        <v>239</v>
      </c>
      <c r="V157" s="421" t="s">
        <v>230</v>
      </c>
      <c r="W157" s="421" t="str">
        <f>Errorlog_table[[#This Row],[System]]</f>
        <v>GT69</v>
      </c>
      <c r="X157" s="385">
        <f>Errorlog_table[[#This Row],[link]]</f>
        <v>53204135</v>
      </c>
      <c r="Y157" s="287" t="str">
        <f>Errorlog_table[[#This Row],[Root_Error]]</f>
        <v>LAW-1001</v>
      </c>
      <c r="Z157" s="287" t="str">
        <f>Errorlog_table[[#This Row],[Description]]</f>
        <v>PA1 pressure too high</v>
      </c>
      <c r="AA157" s="287" t="str">
        <f t="shared" si="7"/>
        <v>Short down</v>
      </c>
      <c r="AB157" s="415">
        <f ca="1">_xlfn.ISOWEEKNUM(Errorlog_table[[#This Row],[Date]])+52*(Errorlog_table[[#This Row],[Year]]-YEAR(DATE(YEAR(TODAY()-WEEKDAY(TODAY()-1)+4),1,1)-MOD((DATE(YEAR(TODAY()-WEEKDAY(TODAY()-1)+4),1,1)-2),7)+(7*IF(MOD((DATE(YEAR(TODAY()-WEEKDAY(TODAY()-1)+4),1,1)-2),7)&gt;3,1,0))+7) )-_xlfn.ISOWEEKNUM(NOW())</f>
        <v>-7</v>
      </c>
      <c r="AC157" s="287">
        <f>COUNTIF(MTBF_pareto[AIR],Errorlog_table[[#This Row],[AIR]])</f>
        <v>0</v>
      </c>
      <c r="AD157" s="306" t="str">
        <f>TEXT(Errorlog_table[[#This Row],[Date]],"yyyy-mm-dd")&amp;"_"&amp;TEXT(Errorlog_table[[#This Row],[SDT_Timestamp]],"HH:MM:SS")&amp;"_"&amp;Errorlog_table[[#This Row],[System]]</f>
        <v>2025-07-24_00:49:56_GT69</v>
      </c>
      <c r="AE157" s="287" t="str">
        <f>Errorlog_table[[#This Row],[P_Hits]]</f>
        <v>N</v>
      </c>
      <c r="AF157" s="287">
        <v>0</v>
      </c>
    </row>
    <row r="158" spans="1:32" ht="28.5">
      <c r="A158" s="455" t="s">
        <v>12</v>
      </c>
      <c r="B158" s="301" t="str">
        <f>VLOOKUP(A158,'5000_Fleet'!A:D,2,FALSE)</f>
        <v>TSMC</v>
      </c>
      <c r="C158" s="37" t="s">
        <v>689</v>
      </c>
      <c r="D158" s="301">
        <f>YEAR(DATE(YEAR(Errorlog_table[[#This Row],[Date]]-WEEKDAY(Errorlog_table[[#This Row],[Date]]-1)+4),1,1)-MOD((DATE(YEAR(Errorlog_table[[#This Row],[Date]]-WEEKDAY(Errorlog_table[[#This Row],[Date]]-1)+4),1,1)-2),7)+(7*IF(MOD((DATE(YEAR(Errorlog_table[[#This Row],[Date]]-WEEKDAY(Errorlog_table[[#This Row],[Date]]-1)+4),1,1)-2),7)&gt;3,1,0))+7)</f>
        <v>2025</v>
      </c>
      <c r="E158" s="412">
        <f>VALUE(TEXT(_xlfn.ISOWEEKNUM(Errorlog_table[[#This Row],[Date]]),"00"))</f>
        <v>30</v>
      </c>
      <c r="F158" s="416">
        <f>VALUE((Errorlog_table[[#This Row],[Year]])&amp;TEXT(Errorlog_table[[#This Row],[Week_Number]],"00"))</f>
        <v>202530</v>
      </c>
      <c r="G158" s="440">
        <v>45863</v>
      </c>
      <c r="H158" s="12" t="s">
        <v>690</v>
      </c>
      <c r="I158" s="460" t="s">
        <v>691</v>
      </c>
      <c r="J158" s="401" t="e">
        <f>IF(LEN(VALUE(MID(Errorlog_table[[#This Row],[Description]],FIND(":",Errorlog_table[[#This Row],[Description]])+1,6)))&gt;1,MID(Errorlog_table[[#This Row],[Description]],FIND(":",Errorlog_table[[#This Row],[Description]])+1,6),"")</f>
        <v>#VALUE!</v>
      </c>
      <c r="K158" s="431">
        <v>2.9394439999999999</v>
      </c>
      <c r="L158" t="s">
        <v>92</v>
      </c>
      <c r="M158" s="301">
        <v>53205870</v>
      </c>
      <c r="N158" s="501" t="s">
        <v>692</v>
      </c>
      <c r="O158" s="409" t="str">
        <f t="shared" si="8"/>
        <v>P906475</v>
      </c>
      <c r="P158" s="301">
        <f>LEN(Errorlog_table[[#This Row],[AIR]])</f>
        <v>7</v>
      </c>
      <c r="Q158" s="37" cm="1">
        <f t="array" ref="Q158">IF(OR(Errorlog_table[[#This Row],[AIR]]="n/a",Errorlog_table[[#This Row],[Event_code]]="Y"),"n/a",IF(Errorlog_table[[#This Row],[AIR]]="","no AIR",_xlfn.XLOOKUP(Errorlog_table[[#This Row],[AIR]],AIR_dump[[#All],[Number]],AIR_dump[[#All],[Type]],"not found",0,1)))</f>
        <v>0</v>
      </c>
      <c r="R158" s="420" t="str" cm="1">
        <f t="array" ref="R158">IF(OR(Errorlog_table[[#This Row],[AIR]]="n/a",Errorlog_table[[#This Row],[Event_code]]="Y"),"n/a",IF(Errorlog_table[[#This Row],[AIR]]="","no AIR",_xlfn.XLOOKUP(Errorlog_table[[#This Row],[AIR]],AIR_dump[[#All],[Number]],AIR_dump[[#All],[Summary]],"not found",0,1)))</f>
        <v>System suffer RH-8550 data store mismatch after unload POD from LDPT2</v>
      </c>
      <c r="S158" s="385" t="str" cm="1">
        <f t="array" ref="S158">_xlfn.XLOOKUP(Errorlog_table[[#This Row],[AIR]],AIR_dump[[#All],[Number]],AIR_dump[[#All],[Close notes]])</f>
        <v>Monitoring alignment</v>
      </c>
      <c r="T158" s="385">
        <f>Errorlog_table[[#This Row],[Year_Week_Number]]</f>
        <v>202530</v>
      </c>
      <c r="U158" s="421" t="s">
        <v>239</v>
      </c>
      <c r="V158" s="421" t="s">
        <v>230</v>
      </c>
      <c r="W158" s="413" t="str">
        <f>Errorlog_table[[#This Row],[System]]</f>
        <v>GT69</v>
      </c>
      <c r="X158" s="401" t="str">
        <f>Errorlog_table[[#This Row],[link]]</f>
        <v>P906475</v>
      </c>
      <c r="Y158" s="287" t="str">
        <f>Errorlog_table[[#This Row],[Root_Error]]</f>
        <v>RH-8550</v>
      </c>
      <c r="Z158" s="301" t="str">
        <f>Errorlog_table[[#This Row],[Description]]</f>
        <v>2DBCR reading error</v>
      </c>
      <c r="AA158" s="301" t="str">
        <f t="shared" ref="AA158:AA178" si="9">IF(K158&gt;=12,"XLD","Short down")</f>
        <v>Short down</v>
      </c>
      <c r="AB158" s="412">
        <f ca="1">_xlfn.ISOWEEKNUM(Errorlog_table[[#This Row],[Date]])+52*(Errorlog_table[[#This Row],[Year]]-YEAR(DATE(YEAR(TODAY()-WEEKDAY(TODAY()-1)+4),1,1)-MOD((DATE(YEAR(TODAY()-WEEKDAY(TODAY()-1)+4),1,1)-2),7)+(7*IF(MOD((DATE(YEAR(TODAY()-WEEKDAY(TODAY()-1)+4),1,1)-2),7)&gt;3,1,0))+7) )-_xlfn.ISOWEEKNUM(NOW())</f>
        <v>-7</v>
      </c>
      <c r="AC158" s="301">
        <f>COUNTIF(MTBF_pareto[AIR],Errorlog_table[[#This Row],[AIR]])</f>
        <v>0</v>
      </c>
      <c r="AD158" s="306" t="str">
        <f>TEXT(Errorlog_table[[#This Row],[Date]],"yyyy-mm-dd")&amp;"_"&amp;TEXT(Errorlog_table[[#This Row],[SDT_Timestamp]],"HH:MM:SS")&amp;"_"&amp;Errorlog_table[[#This Row],[System]]</f>
        <v>2025-07-25_13:47:17_GT69</v>
      </c>
      <c r="AE158" s="287" t="str">
        <f>Errorlog_table[[#This Row],[P_Hits]]</f>
        <v>N</v>
      </c>
      <c r="AF158" s="287">
        <v>0</v>
      </c>
    </row>
    <row r="159" spans="1:32" ht="28.5">
      <c r="A159" s="456" t="s">
        <v>12</v>
      </c>
      <c r="B159" s="277" t="str">
        <f>VLOOKUP(A159,'5000_Fleet'!A:D,2,FALSE)</f>
        <v>TSMC</v>
      </c>
      <c r="C159" s="444" t="s">
        <v>699</v>
      </c>
      <c r="D159" s="293">
        <f>YEAR(DATE(YEAR(Errorlog_table[[#This Row],[Date]]-WEEKDAY(Errorlog_table[[#This Row],[Date]]-1)+4),1,1)-MOD((DATE(YEAR(Errorlog_table[[#This Row],[Date]]-WEEKDAY(Errorlog_table[[#This Row],[Date]]-1)+4),1,1)-2),7)+(7*IF(MOD((DATE(YEAR(Errorlog_table[[#This Row],[Date]]-WEEKDAY(Errorlog_table[[#This Row],[Date]]-1)+4),1,1)-2),7)&gt;3,1,0))+7)</f>
        <v>2025</v>
      </c>
      <c r="E159" s="315">
        <f>VALUE(TEXT(_xlfn.ISOWEEKNUM(Errorlog_table[[#This Row],[Date]]),"00"))</f>
        <v>31</v>
      </c>
      <c r="F159" s="416">
        <f>VALUE((Errorlog_table[[#This Row],[Year]])&amp;TEXT(Errorlog_table[[#This Row],[Week_Number]],"00"))</f>
        <v>202531</v>
      </c>
      <c r="G159" s="443">
        <v>45866</v>
      </c>
      <c r="H159" s="444" t="s">
        <v>700</v>
      </c>
      <c r="I159" s="444" t="s">
        <v>701</v>
      </c>
      <c r="J159" s="347" t="e">
        <f>IF(LEN(VALUE(MID(Errorlog_table[[#This Row],[Description]],FIND(":",Errorlog_table[[#This Row],[Description]])+1,6)))&gt;1,MID(Errorlog_table[[#This Row],[Description]],FIND(":",Errorlog_table[[#This Row],[Description]])+1,6),"")</f>
        <v>#VALUE!</v>
      </c>
      <c r="K159" s="442">
        <v>2.8288890000000002</v>
      </c>
      <c r="L159" s="444" t="s">
        <v>530</v>
      </c>
      <c r="M159" s="277">
        <v>53208036</v>
      </c>
      <c r="N159" s="464" t="s">
        <v>702</v>
      </c>
      <c r="O159" s="441" t="str">
        <f t="shared" si="8"/>
        <v>P906799</v>
      </c>
      <c r="P159" s="277">
        <f>LEN(Errorlog_table[[#This Row],[AIR]])</f>
        <v>7</v>
      </c>
      <c r="Q159" cm="1">
        <f t="array" ref="Q159">IF(OR(Errorlog_table[[#This Row],[AIR]]="n/a",Errorlog_table[[#This Row],[Event_code]]="Y"),"n/a",IF(Errorlog_table[[#This Row],[AIR]]="","no AIR",_xlfn.XLOOKUP(Errorlog_table[[#This Row],[AIR]],AIR_dump[[#All],[Number]],AIR_dump[[#All],[Type]],"not found",0,1)))</f>
        <v>0</v>
      </c>
      <c r="R159" s="282" t="str" cm="1">
        <f t="array" ref="R159">IF(OR(Errorlog_table[[#This Row],[AIR]]="n/a",Errorlog_table[[#This Row],[Event_code]]="Y"),"n/a",IF(Errorlog_table[[#This Row],[AIR]]="","no AIR",_xlfn.XLOOKUP(Errorlog_table[[#This Row],[AIR]],AIR_dump[[#All],[Number]],AIR_dump[[#All],[Summary]],"not found",0,1)))</f>
        <v xml:space="preserve"> [GT69] RPAS Pre-alignment step skipped during lot operation/RetEx fails because reticle pre-align not completed </v>
      </c>
      <c r="S159" s="347" t="str" cm="1">
        <f t="array" ref="S159">_xlfn.XLOOKUP(Errorlog_table[[#This Row],[AIR]],AIR_dump[[#All],[Number]],AIR_dump[[#All],[Close notes]])</f>
        <v>Should be fixed during RETEX 22 intro</v>
      </c>
      <c r="T159" s="347">
        <f>Errorlog_table[[#This Row],[Year_Week_Number]]</f>
        <v>202531</v>
      </c>
      <c r="U159" s="285" t="s">
        <v>230</v>
      </c>
      <c r="V159" s="421" t="s">
        <v>230</v>
      </c>
      <c r="W159" s="285" t="str">
        <f>Errorlog_table[[#This Row],[System]]</f>
        <v>GT69</v>
      </c>
      <c r="X159" s="366" t="str">
        <f>Errorlog_table[[#This Row],[link]]</f>
        <v>P906799</v>
      </c>
      <c r="Y159" s="287" t="str">
        <f>Errorlog_table[[#This Row],[Root_Error]]</f>
        <v>RU-1BA5</v>
      </c>
      <c r="Z159" s="277" t="str">
        <f>Errorlog_table[[#This Row],[Description]]</f>
        <v>Prealignment not valid for current reticle</v>
      </c>
      <c r="AA159" s="277" t="str">
        <f t="shared" si="9"/>
        <v>Short down</v>
      </c>
      <c r="AB159" s="278">
        <f ca="1">_xlfn.ISOWEEKNUM(Errorlog_table[[#This Row],[Date]])+52*(Errorlog_table[[#This Row],[Year]]-YEAR(DATE(YEAR(TODAY()-WEEKDAY(TODAY()-1)+4),1,1)-MOD((DATE(YEAR(TODAY()-WEEKDAY(TODAY()-1)+4),1,1)-2),7)+(7*IF(MOD((DATE(YEAR(TODAY()-WEEKDAY(TODAY()-1)+4),1,1)-2),7)&gt;3,1,0))+7) )-_xlfn.ISOWEEKNUM(NOW())</f>
        <v>-6</v>
      </c>
      <c r="AC159" s="277">
        <f>COUNTIF(MTBF_pareto[AIR],Errorlog_table[[#This Row],[AIR]])</f>
        <v>0</v>
      </c>
      <c r="AD159" s="306" t="str">
        <f>TEXT(Errorlog_table[[#This Row],[Date]],"yyyy-mm-dd")&amp;"_"&amp;TEXT(Errorlog_table[[#This Row],[SDT_Timestamp]],"HH:MM:SS")&amp;"_"&amp;Errorlog_table[[#This Row],[System]]</f>
        <v>2025-07-28_14:17:44_GT69</v>
      </c>
      <c r="AE159" s="287" t="str">
        <f>Errorlog_table[[#This Row],[P_Hits]]</f>
        <v>Y</v>
      </c>
      <c r="AF159" s="287">
        <v>0</v>
      </c>
    </row>
    <row r="160" spans="1:32" ht="15">
      <c r="A160" s="456" t="s">
        <v>12</v>
      </c>
      <c r="B160" s="277" t="str">
        <f>VLOOKUP(A160,'5000_Fleet'!A:D,2,FALSE)</f>
        <v>TSMC</v>
      </c>
      <c r="C160" s="444" t="s">
        <v>708</v>
      </c>
      <c r="D160" s="293">
        <f>YEAR(DATE(YEAR(Errorlog_table[[#This Row],[Date]]-WEEKDAY(Errorlog_table[[#This Row],[Date]]-1)+4),1,1)-MOD((DATE(YEAR(Errorlog_table[[#This Row],[Date]]-WEEKDAY(Errorlog_table[[#This Row],[Date]]-1)+4),1,1)-2),7)+(7*IF(MOD((DATE(YEAR(Errorlog_table[[#This Row],[Date]]-WEEKDAY(Errorlog_table[[#This Row],[Date]]-1)+4),1,1)-2),7)&gt;3,1,0))+7)</f>
        <v>2025</v>
      </c>
      <c r="E160" s="315">
        <f>VALUE(TEXT(_xlfn.ISOWEEKNUM(Errorlog_table[[#This Row],[Date]]),"00"))</f>
        <v>31</v>
      </c>
      <c r="F160" s="416">
        <f>VALUE((Errorlog_table[[#This Row],[Year]])&amp;TEXT(Errorlog_table[[#This Row],[Week_Number]],"00"))</f>
        <v>202531</v>
      </c>
      <c r="G160" s="443">
        <v>45868</v>
      </c>
      <c r="H160" s="444" t="s">
        <v>712</v>
      </c>
      <c r="I160" s="444" t="s">
        <v>710</v>
      </c>
      <c r="J160" s="347" t="e">
        <f>IF(LEN(VALUE(MID(Errorlog_table[[#This Row],[Description]],FIND(":",Errorlog_table[[#This Row],[Description]])+1,6)))&gt;1,MID(Errorlog_table[[#This Row],[Description]],FIND(":",Errorlog_table[[#This Row],[Description]])+1,6),"")</f>
        <v>#VALUE!</v>
      </c>
      <c r="K160" s="442">
        <v>2.7655560000000001</v>
      </c>
      <c r="L160" s="444" t="s">
        <v>530</v>
      </c>
      <c r="M160" s="277">
        <v>53210596</v>
      </c>
      <c r="N160" s="464" t="s">
        <v>711</v>
      </c>
      <c r="O160" s="441" t="str">
        <f t="shared" si="8"/>
        <v>P907514</v>
      </c>
      <c r="P160" s="277">
        <f>LEN(Errorlog_table[[#This Row],[AIR]])</f>
        <v>7</v>
      </c>
      <c r="Q160" cm="1">
        <f t="array" ref="Q160">IF(OR(Errorlog_table[[#This Row],[AIR]]="n/a",Errorlog_table[[#This Row],[Event_code]]="Y"),"n/a",IF(Errorlog_table[[#This Row],[AIR]]="","no AIR",_xlfn.XLOOKUP(Errorlog_table[[#This Row],[AIR]],AIR_dump[[#All],[Number]],AIR_dump[[#All],[Type]],"not found",0,1)))</f>
        <v>0</v>
      </c>
      <c r="R160" s="282" t="str" cm="1">
        <f t="array" ref="R160">IF(OR(Errorlog_table[[#This Row],[AIR]]="n/a",Errorlog_table[[#This Row],[Event_code]]="Y"),"n/a",IF(Errorlog_table[[#This Row],[AIR]]="","no AIR",_xlfn.XLOOKUP(Errorlog_table[[#This Row],[AIR]],AIR_dump[[#All],[Number]],AIR_dump[[#All],[Summary]],"not found",0,1)))</f>
        <v xml:space="preserve">UR-04AE mGT69 IPT hang up/Database integrity issue: #reticles </v>
      </c>
      <c r="S160" s="347" cm="1">
        <f t="array" ref="S160">_xlfn.XLOOKUP(Errorlog_table[[#This Row],[AIR]],AIR_dump[[#All],[Number]],AIR_dump[[#All],[Close notes]])</f>
        <v>0</v>
      </c>
      <c r="T160" s="347">
        <f>Errorlog_table[[#This Row],[Year_Week_Number]]</f>
        <v>202531</v>
      </c>
      <c r="U160" s="285" t="s">
        <v>239</v>
      </c>
      <c r="V160" s="421" t="s">
        <v>239</v>
      </c>
      <c r="W160" s="285" t="str">
        <f>Errorlog_table[[#This Row],[System]]</f>
        <v>GT69</v>
      </c>
      <c r="X160" s="366" t="str">
        <f>Errorlog_table[[#This Row],[link]]</f>
        <v>P907514</v>
      </c>
      <c r="Y160" s="287" t="str">
        <f>Errorlog_table[[#This Row],[Root_Error]]</f>
        <v>UR-04AE</v>
      </c>
      <c r="Z160" s="277" t="str">
        <f>Errorlog_table[[#This Row],[Description]]</f>
        <v>IPT hang up</v>
      </c>
      <c r="AA160" s="277" t="str">
        <f t="shared" si="9"/>
        <v>Short down</v>
      </c>
      <c r="AB160" s="278">
        <f ca="1">_xlfn.ISOWEEKNUM(Errorlog_table[[#This Row],[Date]])+52*(Errorlog_table[[#This Row],[Year]]-YEAR(DATE(YEAR(TODAY()-WEEKDAY(TODAY()-1)+4),1,1)-MOD((DATE(YEAR(TODAY()-WEEKDAY(TODAY()-1)+4),1,1)-2),7)+(7*IF(MOD((DATE(YEAR(TODAY()-WEEKDAY(TODAY()-1)+4),1,1)-2),7)&gt;3,1,0))+7) )-_xlfn.ISOWEEKNUM(NOW())</f>
        <v>-6</v>
      </c>
      <c r="AC160" s="277">
        <f>COUNTIF(MTBF_pareto[AIR],Errorlog_table[[#This Row],[AIR]])</f>
        <v>0</v>
      </c>
      <c r="AD160" s="306" t="str">
        <f>TEXT(Errorlog_table[[#This Row],[Date]],"yyyy-mm-dd")&amp;"_"&amp;TEXT(Errorlog_table[[#This Row],[SDT_Timestamp]],"HH:MM:SS")&amp;"_"&amp;Errorlog_table[[#This Row],[System]]</f>
        <v>2025-07-30_23:56:15_GT69</v>
      </c>
      <c r="AE160" s="287" t="str">
        <f>Errorlog_table[[#This Row],[P_Hits]]</f>
        <v>N</v>
      </c>
      <c r="AF160" s="287">
        <v>0</v>
      </c>
    </row>
    <row r="161" spans="1:32" ht="15">
      <c r="A161" s="456" t="s">
        <v>12</v>
      </c>
      <c r="B161" s="277" t="str">
        <f>VLOOKUP(A161,'5000_Fleet'!A:D,2,FALSE)</f>
        <v>TSMC</v>
      </c>
      <c r="C161" s="444" t="s">
        <v>708</v>
      </c>
      <c r="D161" s="293">
        <f>YEAR(DATE(YEAR(Errorlog_table[[#This Row],[Date]]-WEEKDAY(Errorlog_table[[#This Row],[Date]]-1)+4),1,1)-MOD((DATE(YEAR(Errorlog_table[[#This Row],[Date]]-WEEKDAY(Errorlog_table[[#This Row],[Date]]-1)+4),1,1)-2),7)+(7*IF(MOD((DATE(YEAR(Errorlog_table[[#This Row],[Date]]-WEEKDAY(Errorlog_table[[#This Row],[Date]]-1)+4),1,1)-2),7)&gt;3,1,0))+7)</f>
        <v>2025</v>
      </c>
      <c r="E161" s="315">
        <f>VALUE(TEXT(_xlfn.ISOWEEKNUM(Errorlog_table[[#This Row],[Date]]),"00"))</f>
        <v>31</v>
      </c>
      <c r="F161" s="416">
        <f>VALUE((Errorlog_table[[#This Row],[Year]])&amp;TEXT(Errorlog_table[[#This Row],[Week_Number]],"00"))</f>
        <v>202531</v>
      </c>
      <c r="G161" s="443">
        <v>45869</v>
      </c>
      <c r="H161" s="444" t="s">
        <v>709</v>
      </c>
      <c r="I161" s="444" t="s">
        <v>710</v>
      </c>
      <c r="J161" s="347" t="e">
        <f>IF(LEN(VALUE(MID(Errorlog_table[[#This Row],[Description]],FIND(":",Errorlog_table[[#This Row],[Description]])+1,6)))&gt;1,MID(Errorlog_table[[#This Row],[Description]],FIND(":",Errorlog_table[[#This Row],[Description]])+1,6),"")</f>
        <v>#VALUE!</v>
      </c>
      <c r="K161" s="442">
        <v>0.38944400000000001</v>
      </c>
      <c r="L161" s="444" t="s">
        <v>530</v>
      </c>
      <c r="M161" s="277">
        <v>53157326</v>
      </c>
      <c r="N161" s="464" t="s">
        <v>711</v>
      </c>
      <c r="O161" s="441" t="str">
        <f t="shared" si="8"/>
        <v>P907514</v>
      </c>
      <c r="P161" s="277">
        <f>LEN(Errorlog_table[[#This Row],[AIR]])</f>
        <v>7</v>
      </c>
      <c r="Q161" cm="1">
        <f t="array" ref="Q161">IF(OR(Errorlog_table[[#This Row],[AIR]]="n/a",Errorlog_table[[#This Row],[Event_code]]="Y"),"n/a",IF(Errorlog_table[[#This Row],[AIR]]="","no AIR",_xlfn.XLOOKUP(Errorlog_table[[#This Row],[AIR]],AIR_dump[[#All],[Number]],AIR_dump[[#All],[Type]],"not found",0,1)))</f>
        <v>0</v>
      </c>
      <c r="R161" s="282" t="str" cm="1">
        <f t="array" ref="R161">IF(OR(Errorlog_table[[#This Row],[AIR]]="n/a",Errorlog_table[[#This Row],[Event_code]]="Y"),"n/a",IF(Errorlog_table[[#This Row],[AIR]]="","no AIR",_xlfn.XLOOKUP(Errorlog_table[[#This Row],[AIR]],AIR_dump[[#All],[Number]],AIR_dump[[#All],[Summary]],"not found",0,1)))</f>
        <v xml:space="preserve">UR-04AE mGT69 IPT hang up/Database integrity issue: #reticles </v>
      </c>
      <c r="S161" s="347" cm="1">
        <f t="array" ref="S161">_xlfn.XLOOKUP(Errorlog_table[[#This Row],[AIR]],AIR_dump[[#All],[Number]],AIR_dump[[#All],[Close notes]])</f>
        <v>0</v>
      </c>
      <c r="T161" s="347">
        <f>Errorlog_table[[#This Row],[Year_Week_Number]]</f>
        <v>202531</v>
      </c>
      <c r="U161" s="285" t="s">
        <v>239</v>
      </c>
      <c r="V161" s="421" t="s">
        <v>239</v>
      </c>
      <c r="W161" s="285" t="str">
        <f>Errorlog_table[[#This Row],[System]]</f>
        <v>GT69</v>
      </c>
      <c r="X161" s="366" t="str">
        <f>Errorlog_table[[#This Row],[link]]</f>
        <v>P907514</v>
      </c>
      <c r="Y161" s="287" t="str">
        <f>Errorlog_table[[#This Row],[Root_Error]]</f>
        <v>UR-04AE</v>
      </c>
      <c r="Z161" s="277" t="str">
        <f>Errorlog_table[[#This Row],[Description]]</f>
        <v>IPT hang up</v>
      </c>
      <c r="AA161" s="277" t="str">
        <f t="shared" si="9"/>
        <v>Short down</v>
      </c>
      <c r="AB161" s="278">
        <f ca="1">_xlfn.ISOWEEKNUM(Errorlog_table[[#This Row],[Date]])+52*(Errorlog_table[[#This Row],[Year]]-YEAR(DATE(YEAR(TODAY()-WEEKDAY(TODAY()-1)+4),1,1)-MOD((DATE(YEAR(TODAY()-WEEKDAY(TODAY()-1)+4),1,1)-2),7)+(7*IF(MOD((DATE(YEAR(TODAY()-WEEKDAY(TODAY()-1)+4),1,1)-2),7)&gt;3,1,0))+7) )-_xlfn.ISOWEEKNUM(NOW())</f>
        <v>-6</v>
      </c>
      <c r="AC161" s="277">
        <f>COUNTIF(MTBF_pareto[AIR],Errorlog_table[[#This Row],[AIR]])</f>
        <v>0</v>
      </c>
      <c r="AD161" s="306" t="str">
        <f>TEXT(Errorlog_table[[#This Row],[Date]],"yyyy-mm-dd")&amp;"_"&amp;TEXT(Errorlog_table[[#This Row],[SDT_Timestamp]],"HH:MM:SS")&amp;"_"&amp;Errorlog_table[[#This Row],[System]]</f>
        <v>2025-07-31_03:34:03_GT69</v>
      </c>
      <c r="AE161" s="287" t="str">
        <f>Errorlog_table[[#This Row],[P_Hits]]</f>
        <v>N</v>
      </c>
      <c r="AF161" s="287">
        <v>0</v>
      </c>
    </row>
    <row r="162" spans="1:32" ht="15">
      <c r="A162" s="456" t="s">
        <v>12</v>
      </c>
      <c r="B162" s="277" t="str">
        <f>VLOOKUP(A162,'5000_Fleet'!A:D,2,FALSE)</f>
        <v>TSMC</v>
      </c>
      <c r="C162" s="444" t="s">
        <v>708</v>
      </c>
      <c r="D162" s="293">
        <f>YEAR(DATE(YEAR(Errorlog_table[[#This Row],[Date]]-WEEKDAY(Errorlog_table[[#This Row],[Date]]-1)+4),1,1)-MOD((DATE(YEAR(Errorlog_table[[#This Row],[Date]]-WEEKDAY(Errorlog_table[[#This Row],[Date]]-1)+4),1,1)-2),7)+(7*IF(MOD((DATE(YEAR(Errorlog_table[[#This Row],[Date]]-WEEKDAY(Errorlog_table[[#This Row],[Date]]-1)+4),1,1)-2),7)&gt;3,1,0))+7)</f>
        <v>2025</v>
      </c>
      <c r="E162" s="315">
        <f>VALUE(TEXT(_xlfn.ISOWEEKNUM(Errorlog_table[[#This Row],[Date]]),"00"))</f>
        <v>31</v>
      </c>
      <c r="F162" s="416">
        <f>VALUE((Errorlog_table[[#This Row],[Year]])&amp;TEXT(Errorlog_table[[#This Row],[Week_Number]],"00"))</f>
        <v>202531</v>
      </c>
      <c r="G162" s="443">
        <v>45869</v>
      </c>
      <c r="H162" s="444" t="s">
        <v>713</v>
      </c>
      <c r="I162" s="444" t="s">
        <v>714</v>
      </c>
      <c r="J162" s="347" t="e">
        <f>IF(LEN(VALUE(MID(Errorlog_table[[#This Row],[Description]],FIND(":",Errorlog_table[[#This Row],[Description]])+1,6)))&gt;1,MID(Errorlog_table[[#This Row],[Description]],FIND(":",Errorlog_table[[#This Row],[Description]])+1,6),"")</f>
        <v>#VALUE!</v>
      </c>
      <c r="K162" s="442">
        <v>1.4102779999999999</v>
      </c>
      <c r="L162" s="444" t="s">
        <v>530</v>
      </c>
      <c r="M162" s="277">
        <v>53210596</v>
      </c>
      <c r="N162" s="464"/>
      <c r="O162" s="409">
        <f t="shared" ref="O162:O178" si="10">IF(N162="",HYPERLINK("https://air.asml.com/textsearch.do?sysparm_search="&amp;M162,M162),HYPERLINK("https://air.asml.com/u_qm_issues.do?sysparm_query=number="&amp;N162,N162))</f>
        <v>53210596</v>
      </c>
      <c r="P162" s="277">
        <f>LEN(Errorlog_table[[#This Row],[AIR]])</f>
        <v>0</v>
      </c>
      <c r="Q162" t="str" cm="1">
        <f t="array" ref="Q162">IF(OR(Errorlog_table[[#This Row],[AIR]]="n/a",Errorlog_table[[#This Row],[Event_code]]="Y"),"n/a",IF(Errorlog_table[[#This Row],[AIR]]="","no AIR",_xlfn.XLOOKUP(Errorlog_table[[#This Row],[AIR]],AIR_dump[[#All],[Number]],AIR_dump[[#All],[Type]],"not found",0,1)))</f>
        <v>no AIR</v>
      </c>
      <c r="R162" s="282" t="str" cm="1">
        <f t="array" ref="R162">IF(OR(Errorlog_table[[#This Row],[AIR]]="n/a",Errorlog_table[[#This Row],[Event_code]]="Y"),"n/a",IF(Errorlog_table[[#This Row],[AIR]]="","no AIR",_xlfn.XLOOKUP(Errorlog_table[[#This Row],[AIR]],AIR_dump[[#All],[Number]],AIR_dump[[#All],[Summary]],"not found",0,1)))</f>
        <v>no AIR</v>
      </c>
      <c r="S162" s="347" cm="1">
        <f t="array" ref="S162">_xlfn.XLOOKUP(Errorlog_table[[#This Row],[AIR]],AIR_dump[[#All],[Number]],AIR_dump[[#All],[Close notes]])</f>
        <v>0</v>
      </c>
      <c r="T162" s="347">
        <f>Errorlog_table[[#This Row],[Year_Week_Number]]</f>
        <v>202531</v>
      </c>
      <c r="U162" s="285" t="s">
        <v>239</v>
      </c>
      <c r="V162" s="421" t="s">
        <v>239</v>
      </c>
      <c r="W162" s="285" t="str">
        <f>Errorlog_table[[#This Row],[System]]</f>
        <v>GT69</v>
      </c>
      <c r="X162" s="366">
        <f>Errorlog_table[[#This Row],[link]]</f>
        <v>53210596</v>
      </c>
      <c r="Y162" s="287" t="str">
        <f>Errorlog_table[[#This Row],[Root_Error]]</f>
        <v>UR-04AE</v>
      </c>
      <c r="Z162" s="277" t="str">
        <f>Errorlog_table[[#This Row],[Description]]</f>
        <v>IPT hang up/host reset</v>
      </c>
      <c r="AA162" s="277" t="str">
        <f t="shared" si="9"/>
        <v>Short down</v>
      </c>
      <c r="AB162" s="278">
        <f ca="1">_xlfn.ISOWEEKNUM(Errorlog_table[[#This Row],[Date]])+52*(Errorlog_table[[#This Row],[Year]]-YEAR(DATE(YEAR(TODAY()-WEEKDAY(TODAY()-1)+4),1,1)-MOD((DATE(YEAR(TODAY()-WEEKDAY(TODAY()-1)+4),1,1)-2),7)+(7*IF(MOD((DATE(YEAR(TODAY()-WEEKDAY(TODAY()-1)+4),1,1)-2),7)&gt;3,1,0))+7) )-_xlfn.ISOWEEKNUM(NOW())</f>
        <v>-6</v>
      </c>
      <c r="AC162" s="277">
        <f>COUNTIF(MTBF_pareto[AIR],Errorlog_table[[#This Row],[AIR]])</f>
        <v>0</v>
      </c>
      <c r="AD162" s="306" t="str">
        <f>TEXT(Errorlog_table[[#This Row],[Date]],"yyyy-mm-dd")&amp;"_"&amp;TEXT(Errorlog_table[[#This Row],[SDT_Timestamp]],"HH:MM:SS")&amp;"_"&amp;Errorlog_table[[#This Row],[System]]</f>
        <v>2025-07-31_07:36:44_GT69</v>
      </c>
      <c r="AE162" s="287" t="str">
        <f>Errorlog_table[[#This Row],[P_Hits]]</f>
        <v>N</v>
      </c>
      <c r="AF162" s="287">
        <v>0</v>
      </c>
    </row>
    <row r="163" spans="1:32" ht="28.5">
      <c r="A163" s="456" t="s">
        <v>12</v>
      </c>
      <c r="B163" s="277" t="str">
        <f>VLOOKUP(A163,'5000_Fleet'!A:D,2,FALSE)</f>
        <v>TSMC</v>
      </c>
      <c r="C163" s="444" t="s">
        <v>699</v>
      </c>
      <c r="D163" s="293">
        <f>YEAR(DATE(YEAR(Errorlog_table[[#This Row],[Date]]-WEEKDAY(Errorlog_table[[#This Row],[Date]]-1)+4),1,1)-MOD((DATE(YEAR(Errorlog_table[[#This Row],[Date]]-WEEKDAY(Errorlog_table[[#This Row],[Date]]-1)+4),1,1)-2),7)+(7*IF(MOD((DATE(YEAR(Errorlog_table[[#This Row],[Date]]-WEEKDAY(Errorlog_table[[#This Row],[Date]]-1)+4),1,1)-2),7)&gt;3,1,0))+7)</f>
        <v>2025</v>
      </c>
      <c r="E163" s="315">
        <f>VALUE(TEXT(_xlfn.ISOWEEKNUM(Errorlog_table[[#This Row],[Date]]),"00"))</f>
        <v>31</v>
      </c>
      <c r="F163" s="416">
        <f>VALUE((Errorlog_table[[#This Row],[Year]])&amp;TEXT(Errorlog_table[[#This Row],[Week_Number]],"00"))</f>
        <v>202531</v>
      </c>
      <c r="G163" s="443">
        <v>45872</v>
      </c>
      <c r="H163" s="444" t="s">
        <v>703</v>
      </c>
      <c r="I163" s="444" t="s">
        <v>704</v>
      </c>
      <c r="J163" s="347" t="e">
        <f>IF(LEN(VALUE(MID(Errorlog_table[[#This Row],[Description]],FIND(":",Errorlog_table[[#This Row],[Description]])+1,6)))&gt;1,MID(Errorlog_table[[#This Row],[Description]],FIND(":",Errorlog_table[[#This Row],[Description]])+1,6),"")</f>
        <v>#VALUE!</v>
      </c>
      <c r="K163" s="442">
        <v>1.6363890000000001</v>
      </c>
      <c r="L163" s="444" t="s">
        <v>530</v>
      </c>
      <c r="M163" s="277">
        <v>53208036</v>
      </c>
      <c r="N163" s="464" t="s">
        <v>702</v>
      </c>
      <c r="O163" s="441" t="str">
        <f t="shared" si="10"/>
        <v>P906799</v>
      </c>
      <c r="P163" s="277">
        <f>LEN(Errorlog_table[[#This Row],[AIR]])</f>
        <v>7</v>
      </c>
      <c r="Q163" cm="1">
        <f t="array" ref="Q163">IF(OR(Errorlog_table[[#This Row],[AIR]]="n/a",Errorlog_table[[#This Row],[Event_code]]="Y"),"n/a",IF(Errorlog_table[[#This Row],[AIR]]="","no AIR",_xlfn.XLOOKUP(Errorlog_table[[#This Row],[AIR]],AIR_dump[[#All],[Number]],AIR_dump[[#All],[Type]],"not found",0,1)))</f>
        <v>0</v>
      </c>
      <c r="R163" s="282" t="str" cm="1">
        <f t="array" ref="R163">IF(OR(Errorlog_table[[#This Row],[AIR]]="n/a",Errorlog_table[[#This Row],[Event_code]]="Y"),"n/a",IF(Errorlog_table[[#This Row],[AIR]]="","no AIR",_xlfn.XLOOKUP(Errorlog_table[[#This Row],[AIR]],AIR_dump[[#All],[Number]],AIR_dump[[#All],[Summary]],"not found",0,1)))</f>
        <v xml:space="preserve"> [GT69] RPAS Pre-alignment step skipped during lot operation/RetEx fails because reticle pre-align not completed </v>
      </c>
      <c r="S163" s="347" t="str" cm="1">
        <f t="array" ref="S163">_xlfn.XLOOKUP(Errorlog_table[[#This Row],[AIR]],AIR_dump[[#All],[Number]],AIR_dump[[#All],[Close notes]])</f>
        <v>Should be fixed during RETEX 22 intro</v>
      </c>
      <c r="T163" s="347">
        <f>Errorlog_table[[#This Row],[Year_Week_Number]]</f>
        <v>202531</v>
      </c>
      <c r="U163" s="285" t="s">
        <v>230</v>
      </c>
      <c r="V163" s="421" t="s">
        <v>230</v>
      </c>
      <c r="W163" s="285" t="str">
        <f>Errorlog_table[[#This Row],[System]]</f>
        <v>GT69</v>
      </c>
      <c r="X163" s="366" t="str">
        <f>Errorlog_table[[#This Row],[link]]</f>
        <v>P906799</v>
      </c>
      <c r="Y163" s="287" t="str">
        <f>Errorlog_table[[#This Row],[Root_Error]]</f>
        <v>RU-1BA5</v>
      </c>
      <c r="Z163" s="277" t="str">
        <f>Errorlog_table[[#This Row],[Description]]</f>
        <v>Prealignment not valid for current reticle/one button re init</v>
      </c>
      <c r="AA163" s="277" t="str">
        <f t="shared" si="9"/>
        <v>Short down</v>
      </c>
      <c r="AB163" s="278">
        <f ca="1">_xlfn.ISOWEEKNUM(Errorlog_table[[#This Row],[Date]])+52*(Errorlog_table[[#This Row],[Year]]-YEAR(DATE(YEAR(TODAY()-WEEKDAY(TODAY()-1)+4),1,1)-MOD((DATE(YEAR(TODAY()-WEEKDAY(TODAY()-1)+4),1,1)-2),7)+(7*IF(MOD((DATE(YEAR(TODAY()-WEEKDAY(TODAY()-1)+4),1,1)-2),7)&gt;3,1,0))+7) )-_xlfn.ISOWEEKNUM(NOW())</f>
        <v>-6</v>
      </c>
      <c r="AC163" s="277">
        <f>COUNTIF(MTBF_pareto[AIR],Errorlog_table[[#This Row],[AIR]])</f>
        <v>0</v>
      </c>
      <c r="AD163" s="306" t="str">
        <f>TEXT(Errorlog_table[[#This Row],[Date]],"yyyy-mm-dd")&amp;"_"&amp;TEXT(Errorlog_table[[#This Row],[SDT_Timestamp]],"HH:MM:SS")&amp;"_"&amp;Errorlog_table[[#This Row],[System]]</f>
        <v>2025-08-03_14:36:49_GT69</v>
      </c>
      <c r="AE163" s="287" t="str">
        <f>Errorlog_table[[#This Row],[P_Hits]]</f>
        <v>Y</v>
      </c>
      <c r="AF163" s="287">
        <v>0</v>
      </c>
    </row>
    <row r="164" spans="1:32" ht="15">
      <c r="A164" s="457" t="s">
        <v>12</v>
      </c>
      <c r="B164" s="293" t="str">
        <f>VLOOKUP(A164,'5000_Fleet'!A:D,2,FALSE)</f>
        <v>TSMC</v>
      </c>
      <c r="C164" s="444" t="s">
        <v>705</v>
      </c>
      <c r="D164" s="293">
        <f>YEAR(DATE(YEAR(Errorlog_table[[#This Row],[Date]]-WEEKDAY(Errorlog_table[[#This Row],[Date]]-1)+4),1,1)-MOD((DATE(YEAR(Errorlog_table[[#This Row],[Date]]-WEEKDAY(Errorlog_table[[#This Row],[Date]]-1)+4),1,1)-2),7)+(7*IF(MOD((DATE(YEAR(Errorlog_table[[#This Row],[Date]]-WEEKDAY(Errorlog_table[[#This Row],[Date]]-1)+4),1,1)-2),7)&gt;3,1,0))+7)</f>
        <v>2025</v>
      </c>
      <c r="E164" s="315">
        <f>VALUE(TEXT(_xlfn.ISOWEEKNUM(Errorlog_table[[#This Row],[Date]]),"00"))</f>
        <v>31</v>
      </c>
      <c r="F164" s="416">
        <f>VALUE((Errorlog_table[[#This Row],[Year]])&amp;TEXT(Errorlog_table[[#This Row],[Week_Number]],"00"))</f>
        <v>202531</v>
      </c>
      <c r="G164" s="443">
        <v>45872</v>
      </c>
      <c r="H164" s="444" t="s">
        <v>706</v>
      </c>
      <c r="I164" s="444" t="s">
        <v>707</v>
      </c>
      <c r="J164" s="347" t="e">
        <f>IF(LEN(VALUE(MID(Errorlog_table[[#This Row],[Description]],FIND(":",Errorlog_table[[#This Row],[Description]])+1,6)))&gt;1,MID(Errorlog_table[[#This Row],[Description]],FIND(":",Errorlog_table[[#This Row],[Description]])+1,6),"")</f>
        <v>#VALUE!</v>
      </c>
      <c r="K164" s="442">
        <v>1.3394440000000001</v>
      </c>
      <c r="L164" s="444" t="s">
        <v>530</v>
      </c>
      <c r="M164" s="293">
        <v>53213625</v>
      </c>
      <c r="N164" s="465"/>
      <c r="O164" s="441">
        <f t="shared" si="10"/>
        <v>53213625</v>
      </c>
      <c r="P164" s="293">
        <f>LEN(Errorlog_table[[#This Row],[AIR]])</f>
        <v>0</v>
      </c>
      <c r="Q164" t="str" cm="1">
        <f t="array" ref="Q164">IF(OR(Errorlog_table[[#This Row],[AIR]]="n/a",Errorlog_table[[#This Row],[Event_code]]="Y"),"n/a",IF(Errorlog_table[[#This Row],[AIR]]="","no AIR",_xlfn.XLOOKUP(Errorlog_table[[#This Row],[AIR]],AIR_dump[[#All],[Number]],AIR_dump[[#All],[Type]],"not found",0,1)))</f>
        <v>no AIR</v>
      </c>
      <c r="R164" s="283" t="str" cm="1">
        <f t="array" ref="R164">IF(OR(Errorlog_table[[#This Row],[AIR]]="n/a",Errorlog_table[[#This Row],[Event_code]]="Y"),"n/a",IF(Errorlog_table[[#This Row],[AIR]]="","no AIR",_xlfn.XLOOKUP(Errorlog_table[[#This Row],[AIR]],AIR_dump[[#All],[Number]],AIR_dump[[#All],[Summary]],"not found",0,1)))</f>
        <v>no AIR</v>
      </c>
      <c r="S164" s="347" cm="1">
        <f t="array" ref="S164">_xlfn.XLOOKUP(Errorlog_table[[#This Row],[AIR]],AIR_dump[[#All],[Number]],AIR_dump[[#All],[Close notes]])</f>
        <v>0</v>
      </c>
      <c r="T164" s="347">
        <f>Errorlog_table[[#This Row],[Year_Week_Number]]</f>
        <v>202531</v>
      </c>
      <c r="U164" s="307" t="s">
        <v>230</v>
      </c>
      <c r="V164" s="421" t="s">
        <v>230</v>
      </c>
      <c r="W164" s="307" t="str">
        <f>Errorlog_table[[#This Row],[System]]</f>
        <v>GT69</v>
      </c>
      <c r="X164" s="347">
        <f>Errorlog_table[[#This Row],[link]]</f>
        <v>53213625</v>
      </c>
      <c r="Y164" s="287" t="str">
        <f>Errorlog_table[[#This Row],[Root_Error]]</f>
        <v>WZ-0D04</v>
      </c>
      <c r="Z164" s="293" t="str">
        <f>Errorlog_table[[#This Row],[Description]]</f>
        <v>ALR moving error/host reset WH</v>
      </c>
      <c r="AA164" s="293" t="str">
        <f t="shared" si="9"/>
        <v>Short down</v>
      </c>
      <c r="AB164" s="315">
        <f ca="1">_xlfn.ISOWEEKNUM(Errorlog_table[[#This Row],[Date]])+52*(Errorlog_table[[#This Row],[Year]]-YEAR(DATE(YEAR(TODAY()-WEEKDAY(TODAY()-1)+4),1,1)-MOD((DATE(YEAR(TODAY()-WEEKDAY(TODAY()-1)+4),1,1)-2),7)+(7*IF(MOD((DATE(YEAR(TODAY()-WEEKDAY(TODAY()-1)+4),1,1)-2),7)&gt;3,1,0))+7) )-_xlfn.ISOWEEKNUM(NOW())</f>
        <v>-6</v>
      </c>
      <c r="AC164" s="293">
        <f>COUNTIF(MTBF_pareto[AIR],Errorlog_table[[#This Row],[AIR]])</f>
        <v>0</v>
      </c>
      <c r="AD164" s="306" t="str">
        <f>TEXT(Errorlog_table[[#This Row],[Date]],"yyyy-mm-dd")&amp;"_"&amp;TEXT(Errorlog_table[[#This Row],[SDT_Timestamp]],"HH:MM:SS")&amp;"_"&amp;Errorlog_table[[#This Row],[System]]</f>
        <v>2025-08-03_12:56:38_GT69</v>
      </c>
      <c r="AE164" s="287" t="str">
        <f>Errorlog_table[[#This Row],[P_Hits]]</f>
        <v>Y</v>
      </c>
      <c r="AF164" s="287">
        <v>0</v>
      </c>
    </row>
    <row r="165" spans="1:32" ht="15">
      <c r="A165" s="456" t="s">
        <v>7</v>
      </c>
      <c r="B165" s="277" t="str">
        <f>VLOOKUP(A165,'5000_Fleet'!A:D,2,FALSE)</f>
        <v>Intel</v>
      </c>
      <c r="C165" s="444" t="s">
        <v>291</v>
      </c>
      <c r="D165" s="293">
        <f>YEAR(DATE(YEAR(Errorlog_table[[#This Row],[Date]]-WEEKDAY(Errorlog_table[[#This Row],[Date]]-1)+4),1,1)-MOD((DATE(YEAR(Errorlog_table[[#This Row],[Date]]-WEEKDAY(Errorlog_table[[#This Row],[Date]]-1)+4),1,1)-2),7)+(7*IF(MOD((DATE(YEAR(Errorlog_table[[#This Row],[Date]]-WEEKDAY(Errorlog_table[[#This Row],[Date]]-1)+4),1,1)-2),7)&gt;3,1,0))+7)</f>
        <v>2025</v>
      </c>
      <c r="E165" s="315">
        <f>VALUE(TEXT(_xlfn.ISOWEEKNUM(Errorlog_table[[#This Row],[Date]]),"00"))</f>
        <v>32</v>
      </c>
      <c r="F165" s="416">
        <f>VALUE((Errorlog_table[[#This Row],[Year]])&amp;TEXT(Errorlog_table[[#This Row],[Week_Number]],"00"))</f>
        <v>202532</v>
      </c>
      <c r="G165" s="443">
        <v>45874</v>
      </c>
      <c r="H165" s="444" t="s">
        <v>715</v>
      </c>
      <c r="I165" s="444" t="s">
        <v>716</v>
      </c>
      <c r="J165" s="347" t="str">
        <f>IF(LEN(VALUE(MID(Errorlog_table[[#This Row],[Description]],FIND(":",Errorlog_table[[#This Row],[Description]])+1,6)))&gt;1,MID(Errorlog_table[[#This Row],[Description]],FIND(":",Errorlog_table[[#This Row],[Description]])+1,6),"")</f>
        <v>130743</v>
      </c>
      <c r="K165" s="442">
        <v>1.1666669999999999</v>
      </c>
      <c r="L165" s="277"/>
      <c r="M165" s="277">
        <v>53216548</v>
      </c>
      <c r="N165" s="277"/>
      <c r="O165" s="441">
        <f t="shared" si="10"/>
        <v>53216548</v>
      </c>
      <c r="P165" s="277">
        <f>LEN(Errorlog_table[[#This Row],[AIR]])</f>
        <v>0</v>
      </c>
      <c r="Q165" t="str" cm="1">
        <f t="array" ref="Q165">IF(OR(Errorlog_table[[#This Row],[AIR]]="n/a",Errorlog_table[[#This Row],[Event_code]]="Y"),"n/a",IF(Errorlog_table[[#This Row],[AIR]]="","no AIR",_xlfn.XLOOKUP(Errorlog_table[[#This Row],[AIR]],AIR_dump[[#All],[Number]],AIR_dump[[#All],[Type]],"not found",0,1)))</f>
        <v>no AIR</v>
      </c>
      <c r="R165" s="282" t="str" cm="1">
        <f t="array" ref="R165">IF(OR(Errorlog_table[[#This Row],[AIR]]="n/a",Errorlog_table[[#This Row],[Event_code]]="Y"),"n/a",IF(Errorlog_table[[#This Row],[AIR]]="","no AIR",_xlfn.XLOOKUP(Errorlog_table[[#This Row],[AIR]],AIR_dump[[#All],[Number]],AIR_dump[[#All],[Summary]],"not found",0,1)))</f>
        <v>no AIR</v>
      </c>
      <c r="S165" s="347" cm="1">
        <f t="array" ref="S165">_xlfn.XLOOKUP(Errorlog_table[[#This Row],[AIR]],AIR_dump[[#All],[Number]],AIR_dump[[#All],[Close notes]])</f>
        <v>0</v>
      </c>
      <c r="T165" s="347">
        <f>Errorlog_table[[#This Row],[Year_Week_Number]]</f>
        <v>202532</v>
      </c>
      <c r="U165" s="285" t="s">
        <v>230</v>
      </c>
      <c r="V165" s="421" t="s">
        <v>230</v>
      </c>
      <c r="W165" s="285" t="str">
        <f>Errorlog_table[[#This Row],[System]]</f>
        <v>GY86</v>
      </c>
      <c r="X165" s="366">
        <f>Errorlog_table[[#This Row],[link]]</f>
        <v>53216548</v>
      </c>
      <c r="Y165" s="287" t="str">
        <f>Errorlog_table[[#This Row],[Root_Error]]</f>
        <v>PG-6206</v>
      </c>
      <c r="Z165" s="277" t="s">
        <v>717</v>
      </c>
      <c r="AA165" s="277" t="str">
        <f t="shared" si="9"/>
        <v>Short down</v>
      </c>
      <c r="AB165" s="278">
        <f ca="1">_xlfn.ISOWEEKNUM(Errorlog_table[[#This Row],[Date]])+52*(Errorlog_table[[#This Row],[Year]]-YEAR(DATE(YEAR(TODAY()-WEEKDAY(TODAY()-1)+4),1,1)-MOD((DATE(YEAR(TODAY()-WEEKDAY(TODAY()-1)+4),1,1)-2),7)+(7*IF(MOD((DATE(YEAR(TODAY()-WEEKDAY(TODAY()-1)+4),1,1)-2),7)&gt;3,1,0))+7) )-_xlfn.ISOWEEKNUM(NOW())</f>
        <v>-5</v>
      </c>
      <c r="AC165" s="277">
        <f>COUNTIF(MTBF_pareto[AIR],Errorlog_table[[#This Row],[AIR]])</f>
        <v>0</v>
      </c>
      <c r="AD165" s="306" t="str">
        <f>TEXT(Errorlog_table[[#This Row],[Date]],"yyyy-mm-dd")&amp;"_"&amp;TEXT(Errorlog_table[[#This Row],[SDT_Timestamp]],"HH:MM:SS")&amp;"_"&amp;Errorlog_table[[#This Row],[System]]</f>
        <v>2025-08-05_21:58:00_GY86</v>
      </c>
      <c r="AE165" s="287" t="str">
        <f>Errorlog_table[[#This Row],[P_Hits]]</f>
        <v>Y</v>
      </c>
      <c r="AF165" s="287">
        <v>0</v>
      </c>
    </row>
    <row r="166" spans="1:32" ht="15">
      <c r="A166" s="457" t="s">
        <v>12</v>
      </c>
      <c r="B166" s="293" t="str">
        <f>VLOOKUP(A166,'5000_Fleet'!A:D,2,FALSE)</f>
        <v>TSMC</v>
      </c>
      <c r="C166" s="444" t="s">
        <v>164</v>
      </c>
      <c r="D166" s="293">
        <f>YEAR(DATE(YEAR(Errorlog_table[[#This Row],[Date]]-WEEKDAY(Errorlog_table[[#This Row],[Date]]-1)+4),1,1)-MOD((DATE(YEAR(Errorlog_table[[#This Row],[Date]]-WEEKDAY(Errorlog_table[[#This Row],[Date]]-1)+4),1,1)-2),7)+(7*IF(MOD((DATE(YEAR(Errorlog_table[[#This Row],[Date]]-WEEKDAY(Errorlog_table[[#This Row],[Date]]-1)+4),1,1)-2),7)&gt;3,1,0))+7)</f>
        <v>2025</v>
      </c>
      <c r="E166" s="315">
        <f>VALUE(TEXT(_xlfn.ISOWEEKNUM(Errorlog_table[[#This Row],[Date]]),"00"))</f>
        <v>32</v>
      </c>
      <c r="F166" s="416">
        <f>VALUE((Errorlog_table[[#This Row],[Year]])&amp;TEXT(Errorlog_table[[#This Row],[Week_Number]],"00"))</f>
        <v>202532</v>
      </c>
      <c r="G166" s="443">
        <v>45879</v>
      </c>
      <c r="H166" s="444" t="s">
        <v>718</v>
      </c>
      <c r="I166" s="444" t="s">
        <v>719</v>
      </c>
      <c r="J166" s="347" t="e">
        <f>IF(LEN(VALUE(MID(Errorlog_table[[#This Row],[Description]],FIND(":",Errorlog_table[[#This Row],[Description]])+1,6)))&gt;1,MID(Errorlog_table[[#This Row],[Description]],FIND(":",Errorlog_table[[#This Row],[Description]])+1,6),"")</f>
        <v>#VALUE!</v>
      </c>
      <c r="K166" s="442">
        <v>6.4252779999999996</v>
      </c>
      <c r="L166" s="293"/>
      <c r="M166" s="293">
        <v>53219953</v>
      </c>
      <c r="N166" s="293"/>
      <c r="O166" s="409">
        <f t="shared" si="10"/>
        <v>53219953</v>
      </c>
      <c r="P166" s="293">
        <f>LEN(Errorlog_table[[#This Row],[AIR]])</f>
        <v>0</v>
      </c>
      <c r="Q166" t="str" cm="1">
        <f t="array" ref="Q166">IF(OR(Errorlog_table[[#This Row],[AIR]]="n/a",Errorlog_table[[#This Row],[Event_code]]="Y"),"n/a",IF(Errorlog_table[[#This Row],[AIR]]="","no AIR",_xlfn.XLOOKUP(Errorlog_table[[#This Row],[AIR]],AIR_dump[[#All],[Number]],AIR_dump[[#All],[Type]],"not found",0,1)))</f>
        <v>no AIR</v>
      </c>
      <c r="R166" s="283" t="str" cm="1">
        <f t="array" ref="R166">IF(OR(Errorlog_table[[#This Row],[AIR]]="n/a",Errorlog_table[[#This Row],[Event_code]]="Y"),"n/a",IF(Errorlog_table[[#This Row],[AIR]]="","no AIR",_xlfn.XLOOKUP(Errorlog_table[[#This Row],[AIR]],AIR_dump[[#All],[Number]],AIR_dump[[#All],[Summary]],"not found",0,1)))</f>
        <v>no AIR</v>
      </c>
      <c r="S166" s="347" cm="1">
        <f t="array" ref="S166">_xlfn.XLOOKUP(Errorlog_table[[#This Row],[AIR]],AIR_dump[[#All],[Number]],AIR_dump[[#All],[Close notes]])</f>
        <v>0</v>
      </c>
      <c r="T166" s="347">
        <f>Errorlog_table[[#This Row],[Year_Week_Number]]</f>
        <v>202532</v>
      </c>
      <c r="U166" s="285" t="s">
        <v>239</v>
      </c>
      <c r="V166" s="421" t="s">
        <v>230</v>
      </c>
      <c r="W166" s="307" t="str">
        <f>Errorlog_table[[#This Row],[System]]</f>
        <v>GT69</v>
      </c>
      <c r="X166" s="347">
        <f>Errorlog_table[[#This Row],[link]]</f>
        <v>53219953</v>
      </c>
      <c r="Y166" s="287" t="str">
        <f>Errorlog_table[[#This Row],[Root_Error]]</f>
        <v>WP-2C1D</v>
      </c>
      <c r="Z166" s="293" t="str">
        <f>Errorlog_table[[#This Row],[Description]]</f>
        <v>DYPL failed/</v>
      </c>
      <c r="AA166" s="293" t="str">
        <f t="shared" si="9"/>
        <v>Short down</v>
      </c>
      <c r="AB166" s="315">
        <f ca="1">_xlfn.ISOWEEKNUM(Errorlog_table[[#This Row],[Date]])+52*(Errorlog_table[[#This Row],[Year]]-YEAR(DATE(YEAR(TODAY()-WEEKDAY(TODAY()-1)+4),1,1)-MOD((DATE(YEAR(TODAY()-WEEKDAY(TODAY()-1)+4),1,1)-2),7)+(7*IF(MOD((DATE(YEAR(TODAY()-WEEKDAY(TODAY()-1)+4),1,1)-2),7)&gt;3,1,0))+7) )-_xlfn.ISOWEEKNUM(NOW())</f>
        <v>-5</v>
      </c>
      <c r="AC166" s="293">
        <f>COUNTIF(MTBF_pareto[AIR],Errorlog_table[[#This Row],[AIR]])</f>
        <v>0</v>
      </c>
      <c r="AD166" s="306" t="str">
        <f>TEXT(Errorlog_table[[#This Row],[Date]],"yyyy-mm-dd")&amp;"_"&amp;TEXT(Errorlog_table[[#This Row],[SDT_Timestamp]],"HH:MM:SS")&amp;"_"&amp;Errorlog_table[[#This Row],[System]]</f>
        <v>2025-08-10_17:14:48_GT69</v>
      </c>
      <c r="AE166" s="287" t="str">
        <f>Errorlog_table[[#This Row],[P_Hits]]</f>
        <v>N</v>
      </c>
      <c r="AF166" s="287">
        <v>0</v>
      </c>
    </row>
    <row r="167" spans="1:32" ht="28.5">
      <c r="A167" t="s">
        <v>7</v>
      </c>
      <c r="B167" s="277" t="str">
        <f>VLOOKUP(A167,'5000_Fleet'!A:D,2,FALSE)</f>
        <v>Intel</v>
      </c>
      <c r="C167" t="s">
        <v>251</v>
      </c>
      <c r="D167" s="293">
        <f>YEAR(DATE(YEAR(Errorlog_table[[#This Row],[Date]]-WEEKDAY(Errorlog_table[[#This Row],[Date]]-1)+4),1,1)-MOD((DATE(YEAR(Errorlog_table[[#This Row],[Date]]-WEEKDAY(Errorlog_table[[#This Row],[Date]]-1)+4),1,1)-2),7)+(7*IF(MOD((DATE(YEAR(Errorlog_table[[#This Row],[Date]]-WEEKDAY(Errorlog_table[[#This Row],[Date]]-1)+4),1,1)-2),7)&gt;3,1,0))+7)</f>
        <v>2025</v>
      </c>
      <c r="E167" s="315">
        <f>VALUE(TEXT(_xlfn.ISOWEEKNUM(Errorlog_table[[#This Row],[Date]]),"00"))</f>
        <v>33</v>
      </c>
      <c r="F167" s="416">
        <f>VALUE((Errorlog_table[[#This Row],[Year]])&amp;TEXT(Errorlog_table[[#This Row],[Week_Number]],"00"))</f>
        <v>202533</v>
      </c>
      <c r="G167" s="182">
        <v>45881</v>
      </c>
      <c r="H167" t="s">
        <v>722</v>
      </c>
      <c r="I167" t="s">
        <v>723</v>
      </c>
      <c r="J167" s="347" t="str">
        <f>IF(LEN(VALUE(MID(Errorlog_table[[#This Row],[Description]],FIND(":",Errorlog_table[[#This Row],[Description]])+1,6)))&gt;1,MID(Errorlog_table[[#This Row],[Description]],FIND(":",Errorlog_table[[#This Row],[Description]])+1,6),"")</f>
        <v>131371</v>
      </c>
      <c r="K167" s="37">
        <v>1.566667</v>
      </c>
      <c r="L167" s="277"/>
      <c r="M167" s="277">
        <v>53204682</v>
      </c>
      <c r="N167" s="287" t="s">
        <v>271</v>
      </c>
      <c r="O167" s="441" t="str">
        <f t="shared" si="10"/>
        <v>P853275</v>
      </c>
      <c r="P167" s="277">
        <f>LEN(Errorlog_table[[#This Row],[AIR]])</f>
        <v>7</v>
      </c>
      <c r="Q167" cm="1">
        <f t="array" ref="Q167">IF(OR(Errorlog_table[[#This Row],[AIR]]="n/a",Errorlog_table[[#This Row],[Event_code]]="Y"),"n/a",IF(Errorlog_table[[#This Row],[AIR]]="","no AIR",_xlfn.XLOOKUP(Errorlog_table[[#This Row],[AIR]],AIR_dump[[#All],[Number]],AIR_dump[[#All],[Type]],"not found",0,1)))</f>
        <v>0</v>
      </c>
      <c r="R167" s="282" t="str" cm="1">
        <f t="array" ref="R167">IF(OR(Errorlog_table[[#This Row],[AIR]]="n/a",Errorlog_table[[#This Row],[Event_code]]="Y"),"n/a",IF(Errorlog_table[[#This Row],[AIR]]="","no AIR",_xlfn.XLOOKUP(Errorlog_table[[#This Row],[AIR]],AIR_dump[[#All],[Number]],AIR_dump[[#All],[Summary]],"not found",0,1)))</f>
        <v>P853275 - NXE:3800E and EXE:5000 Destination Violation Error ZH-221D</v>
      </c>
      <c r="S167" s="347" t="str" cm="1">
        <f t="array" ref="S167">_xlfn.XLOOKUP(Errorlog_table[[#This Row],[AIR]],AIR_dump[[#All],[Number]],AIR_dump[[#All],[Close notes]])</f>
        <v>Firmware delivered W19 (COB swap done)</v>
      </c>
      <c r="T167" s="347">
        <f>Errorlog_table[[#This Row],[Year_Week_Number]]</f>
        <v>202533</v>
      </c>
      <c r="U167" s="285" t="s">
        <v>230</v>
      </c>
      <c r="V167" s="421" t="s">
        <v>230</v>
      </c>
      <c r="W167" s="285" t="str">
        <f>Errorlog_table[[#This Row],[System]]</f>
        <v>GY86</v>
      </c>
      <c r="X167" s="385" t="str">
        <f>Errorlog_table[[#This Row],[link]]</f>
        <v>P853275</v>
      </c>
      <c r="Y167" s="287" t="str">
        <f>Errorlog_table[[#This Row],[Root_Error]]</f>
        <v>ZH-221D</v>
      </c>
      <c r="Z167" s="277" t="str">
        <f>Errorlog_table[[#This Row],[Description]]</f>
        <v>EpmID:131371| SCN - Lot abort ZH-221D | ZH-221D |</v>
      </c>
      <c r="AA167" s="277" t="str">
        <f t="shared" si="9"/>
        <v>Short down</v>
      </c>
      <c r="AB167" s="278">
        <f ca="1">_xlfn.ISOWEEKNUM(Errorlog_table[[#This Row],[Date]])+52*(Errorlog_table[[#This Row],[Year]]-YEAR(DATE(YEAR(TODAY()-WEEKDAY(TODAY()-1)+4),1,1)-MOD((DATE(YEAR(TODAY()-WEEKDAY(TODAY()-1)+4),1,1)-2),7)+(7*IF(MOD((DATE(YEAR(TODAY()-WEEKDAY(TODAY()-1)+4),1,1)-2),7)&gt;3,1,0))+7) )-_xlfn.ISOWEEKNUM(NOW())</f>
        <v>-4</v>
      </c>
      <c r="AC167" s="277">
        <f>COUNTIF(MTBF_pareto[AIR],Errorlog_table[[#This Row],[AIR]])</f>
        <v>0</v>
      </c>
      <c r="AD167" s="306" t="str">
        <f>TEXT(Errorlog_table[[#This Row],[Date]],"yyyy-mm-dd")&amp;"_"&amp;TEXT(Errorlog_table[[#This Row],[SDT_Timestamp]],"HH:MM:SS")&amp;"_"&amp;Errorlog_table[[#This Row],[System]]</f>
        <v>2025-08-12_09:19:00_GY86</v>
      </c>
      <c r="AE167" s="287" t="str">
        <f>Errorlog_table[[#This Row],[P_Hits]]</f>
        <v>Y</v>
      </c>
      <c r="AF167" s="287">
        <v>1</v>
      </c>
    </row>
    <row r="168" spans="1:32" ht="28.5">
      <c r="A168" t="s">
        <v>7</v>
      </c>
      <c r="B168" s="277" t="str">
        <f>VLOOKUP(A168,'5000_Fleet'!A:D,2,FALSE)</f>
        <v>Intel</v>
      </c>
      <c r="C168" t="s">
        <v>280</v>
      </c>
      <c r="D168" s="293">
        <f>YEAR(DATE(YEAR(Errorlog_table[[#This Row],[Date]]-WEEKDAY(Errorlog_table[[#This Row],[Date]]-1)+4),1,1)-MOD((DATE(YEAR(Errorlog_table[[#This Row],[Date]]-WEEKDAY(Errorlog_table[[#This Row],[Date]]-1)+4),1,1)-2),7)+(7*IF(MOD((DATE(YEAR(Errorlog_table[[#This Row],[Date]]-WEEKDAY(Errorlog_table[[#This Row],[Date]]-1)+4),1,1)-2),7)&gt;3,1,0))+7)</f>
        <v>2025</v>
      </c>
      <c r="E168" s="315">
        <f>VALUE(TEXT(_xlfn.ISOWEEKNUM(Errorlog_table[[#This Row],[Date]]),"00"))</f>
        <v>33</v>
      </c>
      <c r="F168" s="416">
        <f>VALUE((Errorlog_table[[#This Row],[Year]])&amp;TEXT(Errorlog_table[[#This Row],[Week_Number]],"00"))</f>
        <v>202533</v>
      </c>
      <c r="G168" s="182">
        <v>45881</v>
      </c>
      <c r="H168" t="s">
        <v>725</v>
      </c>
      <c r="I168" t="s">
        <v>726</v>
      </c>
      <c r="J168" s="347" t="str">
        <f>IF(LEN(VALUE(MID(Errorlog_table[[#This Row],[Description]],FIND(":",Errorlog_table[[#This Row],[Description]])+1,6)))&gt;1,MID(Errorlog_table[[#This Row],[Description]],FIND(":",Errorlog_table[[#This Row],[Description]])+1,6),"")</f>
        <v>131366</v>
      </c>
      <c r="K168" s="37">
        <v>1.3333330000000001</v>
      </c>
      <c r="L168" s="277"/>
      <c r="M168" s="277">
        <v>53204682</v>
      </c>
      <c r="N168" s="287" t="s">
        <v>271</v>
      </c>
      <c r="O168" s="441" t="str">
        <f t="shared" si="10"/>
        <v>P853275</v>
      </c>
      <c r="P168" s="277">
        <f>LEN(Errorlog_table[[#This Row],[AIR]])</f>
        <v>7</v>
      </c>
      <c r="Q168" cm="1">
        <f t="array" ref="Q168">IF(OR(Errorlog_table[[#This Row],[AIR]]="n/a",Errorlog_table[[#This Row],[Event_code]]="Y"),"n/a",IF(Errorlog_table[[#This Row],[AIR]]="","no AIR",_xlfn.XLOOKUP(Errorlog_table[[#This Row],[AIR]],AIR_dump[[#All],[Number]],AIR_dump[[#All],[Type]],"not found",0,1)))</f>
        <v>0</v>
      </c>
      <c r="R168" s="282" t="str" cm="1">
        <f t="array" ref="R168">IF(OR(Errorlog_table[[#This Row],[AIR]]="n/a",Errorlog_table[[#This Row],[Event_code]]="Y"),"n/a",IF(Errorlog_table[[#This Row],[AIR]]="","no AIR",_xlfn.XLOOKUP(Errorlog_table[[#This Row],[AIR]],AIR_dump[[#All],[Number]],AIR_dump[[#All],[Summary]],"not found",0,1)))</f>
        <v>P853275 - NXE:3800E and EXE:5000 Destination Violation Error ZH-221D</v>
      </c>
      <c r="S168" s="347" t="str" cm="1">
        <f t="array" ref="S168">_xlfn.XLOOKUP(Errorlog_table[[#This Row],[AIR]],AIR_dump[[#All],[Number]],AIR_dump[[#All],[Close notes]])</f>
        <v>Firmware delivered W19 (COB swap done)</v>
      </c>
      <c r="T168" s="347">
        <f>Errorlog_table[[#This Row],[Year_Week_Number]]</f>
        <v>202533</v>
      </c>
      <c r="U168" s="285" t="s">
        <v>239</v>
      </c>
      <c r="V168" s="421" t="s">
        <v>230</v>
      </c>
      <c r="W168" s="285" t="str">
        <f>Errorlog_table[[#This Row],[System]]</f>
        <v>GY86</v>
      </c>
      <c r="X168" s="366" t="str">
        <f>Errorlog_table[[#This Row],[link]]</f>
        <v>P853275</v>
      </c>
      <c r="Y168" s="287" t="str">
        <f>Errorlog_table[[#This Row],[Root_Error]]</f>
        <v>ZF-4392</v>
      </c>
      <c r="Z168" s="277" t="str">
        <f>Errorlog_table[[#This Row],[Description]]</f>
        <v>EpmID:131366| SCN - Lot Abort ZF-4392 | ZF-4392 |</v>
      </c>
      <c r="AA168" s="277" t="str">
        <f t="shared" si="9"/>
        <v>Short down</v>
      </c>
      <c r="AB168" s="278">
        <f ca="1">_xlfn.ISOWEEKNUM(Errorlog_table[[#This Row],[Date]])+52*(Errorlog_table[[#This Row],[Year]]-YEAR(DATE(YEAR(TODAY()-WEEKDAY(TODAY()-1)+4),1,1)-MOD((DATE(YEAR(TODAY()-WEEKDAY(TODAY()-1)+4),1,1)-2),7)+(7*IF(MOD((DATE(YEAR(TODAY()-WEEKDAY(TODAY()-1)+4),1,1)-2),7)&gt;3,1,0))+7) )-_xlfn.ISOWEEKNUM(NOW())</f>
        <v>-4</v>
      </c>
      <c r="AC168" s="277">
        <f>COUNTIF(MTBF_pareto[AIR],Errorlog_table[[#This Row],[AIR]])</f>
        <v>0</v>
      </c>
      <c r="AD168" s="306" t="str">
        <f>TEXT(Errorlog_table[[#This Row],[Date]],"yyyy-mm-dd")&amp;"_"&amp;TEXT(Errorlog_table[[#This Row],[SDT_Timestamp]],"HH:MM:SS")&amp;"_"&amp;Errorlog_table[[#This Row],[System]]</f>
        <v>2025-08-12_18:50:00_GY86</v>
      </c>
      <c r="AE168" s="287" t="str">
        <f>Errorlog_table[[#This Row],[P_Hits]]</f>
        <v>N</v>
      </c>
      <c r="AF168" s="287">
        <v>1</v>
      </c>
    </row>
    <row r="169" spans="1:32" ht="15">
      <c r="A169" t="s">
        <v>12</v>
      </c>
      <c r="B169" s="277" t="str">
        <f>VLOOKUP(A169,'5000_Fleet'!A:D,2,FALSE)</f>
        <v>TSMC</v>
      </c>
      <c r="C169" t="s">
        <v>727</v>
      </c>
      <c r="D169" s="293">
        <f>YEAR(DATE(YEAR(Errorlog_table[[#This Row],[Date]]-WEEKDAY(Errorlog_table[[#This Row],[Date]]-1)+4),1,1)-MOD((DATE(YEAR(Errorlog_table[[#This Row],[Date]]-WEEKDAY(Errorlog_table[[#This Row],[Date]]-1)+4),1,1)-2),7)+(7*IF(MOD((DATE(YEAR(Errorlog_table[[#This Row],[Date]]-WEEKDAY(Errorlog_table[[#This Row],[Date]]-1)+4),1,1)-2),7)&gt;3,1,0))+7)</f>
        <v>2025</v>
      </c>
      <c r="E169" s="315">
        <f>VALUE(TEXT(_xlfn.ISOWEEKNUM(Errorlog_table[[#This Row],[Date]]),"00"))</f>
        <v>33</v>
      </c>
      <c r="F169" s="416">
        <f>VALUE((Errorlog_table[[#This Row],[Year]])&amp;TEXT(Errorlog_table[[#This Row],[Week_Number]],"00"))</f>
        <v>202533</v>
      </c>
      <c r="G169" s="182">
        <v>45882</v>
      </c>
      <c r="H169" t="s">
        <v>728</v>
      </c>
      <c r="I169" t="s">
        <v>729</v>
      </c>
      <c r="J169" s="347" t="e">
        <f>IF(LEN(VALUE(MID(Errorlog_table[[#This Row],[Description]],FIND(":",Errorlog_table[[#This Row],[Description]])+1,6)))&gt;1,MID(Errorlog_table[[#This Row],[Description]],FIND(":",Errorlog_table[[#This Row],[Description]])+1,6),"")</f>
        <v>#VALUE!</v>
      </c>
      <c r="K169" s="37">
        <v>2.923889</v>
      </c>
      <c r="L169" s="277"/>
      <c r="M169" s="277">
        <v>53227023</v>
      </c>
      <c r="N169" s="287" t="s">
        <v>730</v>
      </c>
      <c r="O169" s="441" t="str">
        <f t="shared" si="10"/>
        <v>P915697</v>
      </c>
      <c r="P169" s="277">
        <f>LEN(Errorlog_table[[#This Row],[AIR]])</f>
        <v>7</v>
      </c>
      <c r="Q169" t="str" cm="1">
        <f t="array" ref="Q169">IF(OR(Errorlog_table[[#This Row],[AIR]]="n/a",Errorlog_table[[#This Row],[Event_code]]="Y"),"n/a",IF(Errorlog_table[[#This Row],[AIR]]="","no AIR",_xlfn.XLOOKUP(Errorlog_table[[#This Row],[AIR]],AIR_dump[[#All],[Number]],AIR_dump[[#All],[Type]],"not found",0,1)))</f>
        <v>not found</v>
      </c>
      <c r="R169" s="282" t="str" cm="1">
        <f t="array" ref="R169">IF(OR(Errorlog_table[[#This Row],[AIR]]="n/a",Errorlog_table[[#This Row],[Event_code]]="Y"),"n/a",IF(Errorlog_table[[#This Row],[AIR]]="","no AIR",_xlfn.XLOOKUP(Errorlog_table[[#This Row],[AIR]],AIR_dump[[#All],[Number]],AIR_dump[[#All],[Summary]],"not found",0,1)))</f>
        <v>not found</v>
      </c>
      <c r="S169" s="347" t="e" cm="1">
        <f t="array" ref="S169">_xlfn.XLOOKUP(Errorlog_table[[#This Row],[AIR]],AIR_dump[[#All],[Number]],AIR_dump[[#All],[Close notes]])</f>
        <v>#N/A</v>
      </c>
      <c r="T169" s="347">
        <f>Errorlog_table[[#This Row],[Year_Week_Number]]</f>
        <v>202533</v>
      </c>
      <c r="U169" s="285" t="s">
        <v>230</v>
      </c>
      <c r="V169" s="421" t="s">
        <v>230</v>
      </c>
      <c r="W169" s="285" t="str">
        <f>Errorlog_table[[#This Row],[System]]</f>
        <v>GT69</v>
      </c>
      <c r="X169" s="366" t="str">
        <f>Errorlog_table[[#This Row],[link]]</f>
        <v>P915697</v>
      </c>
      <c r="Y169" s="287" t="str">
        <f>Errorlog_table[[#This Row],[Root_Error]]</f>
        <v>DW-5C01</v>
      </c>
      <c r="Z169" s="277" t="str">
        <f>Errorlog_table[[#This Row],[Description]]</f>
        <v>lot abort by DW-5C01</v>
      </c>
      <c r="AA169" s="277" t="str">
        <f t="shared" si="9"/>
        <v>Short down</v>
      </c>
      <c r="AB169" s="278">
        <f ca="1">_xlfn.ISOWEEKNUM(Errorlog_table[[#This Row],[Date]])+52*(Errorlog_table[[#This Row],[Year]]-YEAR(DATE(YEAR(TODAY()-WEEKDAY(TODAY()-1)+4),1,1)-MOD((DATE(YEAR(TODAY()-WEEKDAY(TODAY()-1)+4),1,1)-2),7)+(7*IF(MOD((DATE(YEAR(TODAY()-WEEKDAY(TODAY()-1)+4),1,1)-2),7)&gt;3,1,0))+7) )-_xlfn.ISOWEEKNUM(NOW())</f>
        <v>-4</v>
      </c>
      <c r="AC169" s="277">
        <f>COUNTIF(MTBF_pareto[AIR],Errorlog_table[[#This Row],[AIR]])</f>
        <v>0</v>
      </c>
      <c r="AD169" s="306" t="str">
        <f>TEXT(Errorlog_table[[#This Row],[Date]],"yyyy-mm-dd")&amp;"_"&amp;TEXT(Errorlog_table[[#This Row],[SDT_Timestamp]],"HH:MM:SS")&amp;"_"&amp;Errorlog_table[[#This Row],[System]]</f>
        <v>2025-08-13_11:09:27_GT69</v>
      </c>
      <c r="AE169" s="287" t="str">
        <f>Errorlog_table[[#This Row],[P_Hits]]</f>
        <v>Y</v>
      </c>
      <c r="AF169" s="287">
        <v>0</v>
      </c>
    </row>
    <row r="170" spans="1:32" ht="28.5">
      <c r="A170" t="s">
        <v>7</v>
      </c>
      <c r="B170" s="277" t="str">
        <f>VLOOKUP(A170,'5000_Fleet'!A:D,2,FALSE)</f>
        <v>Intel</v>
      </c>
      <c r="C170" t="s">
        <v>280</v>
      </c>
      <c r="D170" s="293">
        <f>YEAR(DATE(YEAR(Errorlog_table[[#This Row],[Date]]-WEEKDAY(Errorlog_table[[#This Row],[Date]]-1)+4),1,1)-MOD((DATE(YEAR(Errorlog_table[[#This Row],[Date]]-WEEKDAY(Errorlog_table[[#This Row],[Date]]-1)+4),1,1)-2),7)+(7*IF(MOD((DATE(YEAR(Errorlog_table[[#This Row],[Date]]-WEEKDAY(Errorlog_table[[#This Row],[Date]]-1)+4),1,1)-2),7)&gt;3,1,0))+7)</f>
        <v>2025</v>
      </c>
      <c r="E170" s="315">
        <f>VALUE(TEXT(_xlfn.ISOWEEKNUM(Errorlog_table[[#This Row],[Date]]),"00"))</f>
        <v>33</v>
      </c>
      <c r="F170" s="416">
        <f>VALUE((Errorlog_table[[#This Row],[Year]])&amp;TEXT(Errorlog_table[[#This Row],[Week_Number]],"00"))</f>
        <v>202533</v>
      </c>
      <c r="G170" s="182">
        <v>45883</v>
      </c>
      <c r="H170" t="s">
        <v>720</v>
      </c>
      <c r="I170" t="s">
        <v>721</v>
      </c>
      <c r="J170" s="347" t="str">
        <f>IF(LEN(VALUE(MID(Errorlog_table[[#This Row],[Description]],FIND(":",Errorlog_table[[#This Row],[Description]])+1,6)))&gt;1,MID(Errorlog_table[[#This Row],[Description]],FIND(":",Errorlog_table[[#This Row],[Description]])+1,6),"")</f>
        <v>131885</v>
      </c>
      <c r="K170" s="37">
        <v>8.25</v>
      </c>
      <c r="L170" s="277"/>
      <c r="M170" s="277">
        <v>53204682</v>
      </c>
      <c r="N170" s="287" t="s">
        <v>271</v>
      </c>
      <c r="O170" s="441" t="str">
        <f t="shared" si="10"/>
        <v>P853275</v>
      </c>
      <c r="P170" s="277">
        <f>LEN(Errorlog_table[[#This Row],[AIR]])</f>
        <v>7</v>
      </c>
      <c r="Q170" cm="1">
        <f t="array" ref="Q170">IF(OR(Errorlog_table[[#This Row],[AIR]]="n/a",Errorlog_table[[#This Row],[Event_code]]="Y"),"n/a",IF(Errorlog_table[[#This Row],[AIR]]="","no AIR",_xlfn.XLOOKUP(Errorlog_table[[#This Row],[AIR]],AIR_dump[[#All],[Number]],AIR_dump[[#All],[Type]],"not found",0,1)))</f>
        <v>0</v>
      </c>
      <c r="R170" s="282" t="str" cm="1">
        <f t="array" ref="R170">IF(OR(Errorlog_table[[#This Row],[AIR]]="n/a",Errorlog_table[[#This Row],[Event_code]]="Y"),"n/a",IF(Errorlog_table[[#This Row],[AIR]]="","no AIR",_xlfn.XLOOKUP(Errorlog_table[[#This Row],[AIR]],AIR_dump[[#All],[Number]],AIR_dump[[#All],[Summary]],"not found",0,1)))</f>
        <v>P853275 - NXE:3800E and EXE:5000 Destination Violation Error ZH-221D</v>
      </c>
      <c r="S170" s="347" t="str" cm="1">
        <f t="array" ref="S170">_xlfn.XLOOKUP(Errorlog_table[[#This Row],[AIR]],AIR_dump[[#All],[Number]],AIR_dump[[#All],[Close notes]])</f>
        <v>Firmware delivered W19 (COB swap done)</v>
      </c>
      <c r="T170" s="347">
        <f>Errorlog_table[[#This Row],[Year_Week_Number]]</f>
        <v>202533</v>
      </c>
      <c r="U170" s="285" t="s">
        <v>230</v>
      </c>
      <c r="V170" s="421" t="s">
        <v>230</v>
      </c>
      <c r="W170" s="285" t="str">
        <f>Errorlog_table[[#This Row],[System]]</f>
        <v>GY86</v>
      </c>
      <c r="X170" s="366" t="str">
        <f>Errorlog_table[[#This Row],[link]]</f>
        <v>P853275</v>
      </c>
      <c r="Y170" s="287" t="str">
        <f>Errorlog_table[[#This Row],[Root_Error]]</f>
        <v>ZF-4392</v>
      </c>
      <c r="Z170" s="277" t="str">
        <f>Errorlog_table[[#This Row],[Description]]</f>
        <v>EpmID:131885| SCN - lot abort ZF-4392 | ZF-4392 |</v>
      </c>
      <c r="AA170" s="277" t="str">
        <f t="shared" si="9"/>
        <v>Short down</v>
      </c>
      <c r="AB170" s="278">
        <f ca="1">_xlfn.ISOWEEKNUM(Errorlog_table[[#This Row],[Date]])+52*(Errorlog_table[[#This Row],[Year]]-YEAR(DATE(YEAR(TODAY()-WEEKDAY(TODAY()-1)+4),1,1)-MOD((DATE(YEAR(TODAY()-WEEKDAY(TODAY()-1)+4),1,1)-2),7)+(7*IF(MOD((DATE(YEAR(TODAY()-WEEKDAY(TODAY()-1)+4),1,1)-2),7)&gt;3,1,0))+7) )-_xlfn.ISOWEEKNUM(NOW())</f>
        <v>-4</v>
      </c>
      <c r="AC170" s="277">
        <f>COUNTIF(MTBF_pareto[AIR],Errorlog_table[[#This Row],[AIR]])</f>
        <v>0</v>
      </c>
      <c r="AD170" s="306" t="str">
        <f>TEXT(Errorlog_table[[#This Row],[Date]],"yyyy-mm-dd")&amp;"_"&amp;TEXT(Errorlog_table[[#This Row],[SDT_Timestamp]],"HH:MM:SS")&amp;"_"&amp;Errorlog_table[[#This Row],[System]]</f>
        <v>2025-08-14_06:39:00_GY86</v>
      </c>
      <c r="AE170" s="287" t="str">
        <f>Errorlog_table[[#This Row],[P_Hits]]</f>
        <v>Y</v>
      </c>
      <c r="AF170" s="287">
        <v>1</v>
      </c>
    </row>
    <row r="171" spans="1:32" ht="15">
      <c r="A171" t="s">
        <v>12</v>
      </c>
      <c r="B171" s="277" t="str">
        <f>VLOOKUP(A171,'5000_Fleet'!A:D,2,FALSE)</f>
        <v>TSMC</v>
      </c>
      <c r="C171" t="s">
        <v>727</v>
      </c>
      <c r="D171" s="293">
        <f>YEAR(DATE(YEAR(Errorlog_table[[#This Row],[Date]]-WEEKDAY(Errorlog_table[[#This Row],[Date]]-1)+4),1,1)-MOD((DATE(YEAR(Errorlog_table[[#This Row],[Date]]-WEEKDAY(Errorlog_table[[#This Row],[Date]]-1)+4),1,1)-2),7)+(7*IF(MOD((DATE(YEAR(Errorlog_table[[#This Row],[Date]]-WEEKDAY(Errorlog_table[[#This Row],[Date]]-1)+4),1,1)-2),7)&gt;3,1,0))+7)</f>
        <v>2025</v>
      </c>
      <c r="E171" s="315">
        <f>VALUE(TEXT(_xlfn.ISOWEEKNUM(Errorlog_table[[#This Row],[Date]]),"00"))</f>
        <v>33</v>
      </c>
      <c r="F171" s="416">
        <f>VALUE((Errorlog_table[[#This Row],[Year]])&amp;TEXT(Errorlog_table[[#This Row],[Week_Number]],"00"))</f>
        <v>202533</v>
      </c>
      <c r="G171" s="182">
        <v>45884</v>
      </c>
      <c r="H171" t="s">
        <v>731</v>
      </c>
      <c r="I171" t="s">
        <v>729</v>
      </c>
      <c r="J171" s="347" t="e">
        <f>IF(LEN(VALUE(MID(Errorlog_table[[#This Row],[Description]],FIND(":",Errorlog_table[[#This Row],[Description]])+1,6)))&gt;1,MID(Errorlog_table[[#This Row],[Description]],FIND(":",Errorlog_table[[#This Row],[Description]])+1,6),"")</f>
        <v>#VALUE!</v>
      </c>
      <c r="K171" s="37">
        <v>3.9388890000000001</v>
      </c>
      <c r="L171" s="277"/>
      <c r="M171" s="277">
        <v>53227023</v>
      </c>
      <c r="N171" s="277" t="s">
        <v>730</v>
      </c>
      <c r="O171" s="441" t="str">
        <f t="shared" si="10"/>
        <v>P915697</v>
      </c>
      <c r="P171" s="277">
        <f>LEN(Errorlog_table[[#This Row],[AIR]])</f>
        <v>7</v>
      </c>
      <c r="Q171" t="str" cm="1">
        <f t="array" ref="Q171">IF(OR(Errorlog_table[[#This Row],[AIR]]="n/a",Errorlog_table[[#This Row],[Event_code]]="Y"),"n/a",IF(Errorlog_table[[#This Row],[AIR]]="","no AIR",_xlfn.XLOOKUP(Errorlog_table[[#This Row],[AIR]],AIR_dump[[#All],[Number]],AIR_dump[[#All],[Type]],"not found",0,1)))</f>
        <v>not found</v>
      </c>
      <c r="R171" s="282" t="str" cm="1">
        <f t="array" ref="R171">IF(OR(Errorlog_table[[#This Row],[AIR]]="n/a",Errorlog_table[[#This Row],[Event_code]]="Y"),"n/a",IF(Errorlog_table[[#This Row],[AIR]]="","no AIR",_xlfn.XLOOKUP(Errorlog_table[[#This Row],[AIR]],AIR_dump[[#All],[Number]],AIR_dump[[#All],[Summary]],"not found",0,1)))</f>
        <v>not found</v>
      </c>
      <c r="S171" s="347" t="e" cm="1">
        <f t="array" ref="S171">_xlfn.XLOOKUP(Errorlog_table[[#This Row],[AIR]],AIR_dump[[#All],[Number]],AIR_dump[[#All],[Close notes]])</f>
        <v>#N/A</v>
      </c>
      <c r="T171" s="347">
        <f>Errorlog_table[[#This Row],[Year_Week_Number]]</f>
        <v>202533</v>
      </c>
      <c r="U171" s="285" t="s">
        <v>230</v>
      </c>
      <c r="V171" s="421" t="s">
        <v>230</v>
      </c>
      <c r="W171" s="285" t="str">
        <f>Errorlog_table[[#This Row],[System]]</f>
        <v>GT69</v>
      </c>
      <c r="X171" s="366" t="str">
        <f>Errorlog_table[[#This Row],[link]]</f>
        <v>P915697</v>
      </c>
      <c r="Y171" s="287" t="str">
        <f>Errorlog_table[[#This Row],[Root_Error]]</f>
        <v>DW-5C01</v>
      </c>
      <c r="Z171" s="277" t="str">
        <f>Errorlog_table[[#This Row],[Description]]</f>
        <v>lot abort by DW-5C01</v>
      </c>
      <c r="AA171" s="277" t="str">
        <f t="shared" si="9"/>
        <v>Short down</v>
      </c>
      <c r="AB171" s="278">
        <f ca="1">_xlfn.ISOWEEKNUM(Errorlog_table[[#This Row],[Date]])+52*(Errorlog_table[[#This Row],[Year]]-YEAR(DATE(YEAR(TODAY()-WEEKDAY(TODAY()-1)+4),1,1)-MOD((DATE(YEAR(TODAY()-WEEKDAY(TODAY()-1)+4),1,1)-2),7)+(7*IF(MOD((DATE(YEAR(TODAY()-WEEKDAY(TODAY()-1)+4),1,1)-2),7)&gt;3,1,0))+7) )-_xlfn.ISOWEEKNUM(NOW())</f>
        <v>-4</v>
      </c>
      <c r="AC171" s="277">
        <f>COUNTIF(MTBF_pareto[AIR],Errorlog_table[[#This Row],[AIR]])</f>
        <v>0</v>
      </c>
      <c r="AD171" s="306" t="str">
        <f>TEXT(Errorlog_table[[#This Row],[Date]],"yyyy-mm-dd")&amp;"_"&amp;TEXT(Errorlog_table[[#This Row],[SDT_Timestamp]],"HH:MM:SS")&amp;"_"&amp;Errorlog_table[[#This Row],[System]]</f>
        <v>2025-08-15_18:49:28_GT69</v>
      </c>
      <c r="AE171" s="287" t="str">
        <f>Errorlog_table[[#This Row],[P_Hits]]</f>
        <v>Y</v>
      </c>
      <c r="AF171" s="287">
        <v>0</v>
      </c>
    </row>
    <row r="172" spans="1:32" ht="30">
      <c r="A172" s="469" t="s">
        <v>4</v>
      </c>
      <c r="B172" s="475" t="str">
        <f>VLOOKUP(A172,'5000_Fleet'!A:D,2,FALSE)</f>
        <v>Intel</v>
      </c>
      <c r="C172" s="471" t="s">
        <v>732</v>
      </c>
      <c r="D172" s="470">
        <f>YEAR(DATE(YEAR(Errorlog_table[[#This Row],[Date]]-WEEKDAY(Errorlog_table[[#This Row],[Date]]-1)+4),1,1)-MOD((DATE(YEAR(Errorlog_table[[#This Row],[Date]]-WEEKDAY(Errorlog_table[[#This Row],[Date]]-1)+4),1,1)-2),7)+(7*IF(MOD((DATE(YEAR(Errorlog_table[[#This Row],[Date]]-WEEKDAY(Errorlog_table[[#This Row],[Date]]-1)+4),1,1)-2),7)&gt;3,1,0))+7)</f>
        <v>2025</v>
      </c>
      <c r="E172" s="472">
        <f>VALUE(TEXT(_xlfn.ISOWEEKNUM(Errorlog_table[[#This Row],[Date]]),"00"))</f>
        <v>33</v>
      </c>
      <c r="F172" s="416">
        <f>VALUE((Errorlog_table[[#This Row],[Year]])&amp;TEXT(Errorlog_table[[#This Row],[Week_Number]],"00"))</f>
        <v>202533</v>
      </c>
      <c r="G172" s="473">
        <v>45884</v>
      </c>
      <c r="H172" s="471" t="s">
        <v>733</v>
      </c>
      <c r="I172" s="471" t="s">
        <v>734</v>
      </c>
      <c r="J172" s="474" t="str">
        <f>IF(LEN(VALUE(MID(Errorlog_table[[#This Row],[Description]],FIND(":",Errorlog_table[[#This Row],[Description]])+1,6)))&gt;1,MID(Errorlog_table[[#This Row],[Description]],FIND(":",Errorlog_table[[#This Row],[Description]])+1,6),"")</f>
        <v>131953</v>
      </c>
      <c r="K172" s="469">
        <v>6.6166669999999996</v>
      </c>
      <c r="L172" s="475" t="s">
        <v>92</v>
      </c>
      <c r="M172" s="475">
        <v>53225256</v>
      </c>
      <c r="N172" s="475" t="s">
        <v>735</v>
      </c>
      <c r="O172" s="476" t="str">
        <f t="shared" si="10"/>
        <v>P809193</v>
      </c>
      <c r="P172" s="475">
        <f>LEN(Errorlog_table[[#This Row],[AIR]])</f>
        <v>7</v>
      </c>
      <c r="Q172" s="471" cm="1">
        <f t="array" ref="Q172">IF(OR(Errorlog_table[[#This Row],[AIR]]="n/a",Errorlog_table[[#This Row],[Event_code]]="Y"),"n/a",IF(Errorlog_table[[#This Row],[AIR]]="","no AIR",_xlfn.XLOOKUP(Errorlog_table[[#This Row],[AIR]],AIR_dump[[#All],[Number]],AIR_dump[[#All],[Type]],"not found",0,1)))</f>
        <v>0</v>
      </c>
      <c r="R172" s="504" t="str" cm="1">
        <f t="array" ref="R172">IF(OR(Errorlog_table[[#This Row],[AIR]]="n/a",Errorlog_table[[#This Row],[Event_code]]="Y"),"n/a",IF(Errorlog_table[[#This Row],[AIR]]="","no AIR",_xlfn.XLOOKUP(Errorlog_table[[#This Row],[AIR]],AIR_dump[[#All],[Number]],AIR_dump[[#All],[Summary]],"not found",0,1)))</f>
        <v>[CR51][RS][SN-150B] Lot abort occurred due to Subsystem failed to send SARA or MSR reply in time.</v>
      </c>
      <c r="S172" s="474" cm="1">
        <f t="array" ref="S172">_xlfn.XLOOKUP(Errorlog_table[[#This Row],[AIR]],AIR_dump[[#All],[Number]],AIR_dump[[#All],[Close notes]])</f>
        <v>0</v>
      </c>
      <c r="T172" s="474">
        <f>Errorlog_table[[#This Row],[Year_Week_Number]]</f>
        <v>202533</v>
      </c>
      <c r="U172" s="475" t="s">
        <v>230</v>
      </c>
      <c r="V172" s="477" t="s">
        <v>230</v>
      </c>
      <c r="W172" s="475" t="str">
        <f>Errorlog_table[[#This Row],[System]]</f>
        <v>CR51</v>
      </c>
      <c r="X172" s="506" t="str">
        <f>Errorlog_table[[#This Row],[link]]</f>
        <v>P809193</v>
      </c>
      <c r="Y172" s="477" t="str">
        <f>Errorlog_table[[#This Row],[Root_Error]]</f>
        <v>SM-2307</v>
      </c>
      <c r="Z172" s="475" t="str">
        <f>Errorlog_table[[#This Row],[Description]]</f>
        <v>EpmID:131953| SCN - Lot abort lost heatbeat SM-2307 | SM-2307 |</v>
      </c>
      <c r="AA172" s="475" t="str">
        <f t="shared" si="9"/>
        <v>Short down</v>
      </c>
      <c r="AB172" s="508">
        <f ca="1">_xlfn.ISOWEEKNUM(Errorlog_table[[#This Row],[Date]])+52*(Errorlog_table[[#This Row],[Year]]-YEAR(DATE(YEAR(TODAY()-WEEKDAY(TODAY()-1)+4),1,1)-MOD((DATE(YEAR(TODAY()-WEEKDAY(TODAY()-1)+4),1,1)-2),7)+(7*IF(MOD((DATE(YEAR(TODAY()-WEEKDAY(TODAY()-1)+4),1,1)-2),7)&gt;3,1,0))+7) )-_xlfn.ISOWEEKNUM(NOW())</f>
        <v>-4</v>
      </c>
      <c r="AC172" s="475">
        <f>COUNTIF(MTBF_pareto[AIR],Errorlog_table[[#This Row],[AIR]])</f>
        <v>0</v>
      </c>
      <c r="AD172" s="478" t="str">
        <f>TEXT(Errorlog_table[[#This Row],[Date]],"yyyy-mm-dd")&amp;"_"&amp;TEXT(Errorlog_table[[#This Row],[SDT_Timestamp]],"HH:MM:SS")&amp;"_"&amp;Errorlog_table[[#This Row],[System]]</f>
        <v>2025-08-15_14:56:00_CR51</v>
      </c>
      <c r="AE172" s="477" t="str">
        <f>Errorlog_table[[#This Row],[P_Hits]]</f>
        <v>Y</v>
      </c>
      <c r="AF172" s="477">
        <v>0</v>
      </c>
    </row>
    <row r="173" spans="1:32" s="469" customFormat="1" ht="28.5">
      <c r="A173" t="s">
        <v>7</v>
      </c>
      <c r="B173" s="293" t="str">
        <f>VLOOKUP(A173,'5000_Fleet'!A:D,2,FALSE)</f>
        <v>Intel</v>
      </c>
      <c r="C173" t="s">
        <v>251</v>
      </c>
      <c r="D173" s="293">
        <f>YEAR(DATE(YEAR(Errorlog_table[[#This Row],[Date]]-WEEKDAY(Errorlog_table[[#This Row],[Date]]-1)+4),1,1)-MOD((DATE(YEAR(Errorlog_table[[#This Row],[Date]]-WEEKDAY(Errorlog_table[[#This Row],[Date]]-1)+4),1,1)-2),7)+(7*IF(MOD((DATE(YEAR(Errorlog_table[[#This Row],[Date]]-WEEKDAY(Errorlog_table[[#This Row],[Date]]-1)+4),1,1)-2),7)&gt;3,1,0))+7)</f>
        <v>2025</v>
      </c>
      <c r="E173" s="315">
        <f>VALUE(TEXT(_xlfn.ISOWEEKNUM(Errorlog_table[[#This Row],[Date]]),"00"))</f>
        <v>33</v>
      </c>
      <c r="F173" s="416">
        <f>VALUE((Errorlog_table[[#This Row],[Year]])&amp;TEXT(Errorlog_table[[#This Row],[Week_Number]],"00"))</f>
        <v>202533</v>
      </c>
      <c r="G173" s="182">
        <v>45886</v>
      </c>
      <c r="H173" t="s">
        <v>720</v>
      </c>
      <c r="I173" t="s">
        <v>724</v>
      </c>
      <c r="J173" s="347" t="str">
        <f>IF(LEN(VALUE(MID(Errorlog_table[[#This Row],[Description]],FIND(":",Errorlog_table[[#This Row],[Description]])+1,6)))&gt;1,MID(Errorlog_table[[#This Row],[Description]],FIND(":",Errorlog_table[[#This Row],[Description]])+1,6),"")</f>
        <v>131958</v>
      </c>
      <c r="K173" s="37">
        <v>1.3833329999999999</v>
      </c>
      <c r="L173" s="293"/>
      <c r="M173" s="277">
        <v>53204682</v>
      </c>
      <c r="N173" s="293" t="s">
        <v>271</v>
      </c>
      <c r="O173" s="441" t="str">
        <f t="shared" si="10"/>
        <v>P853275</v>
      </c>
      <c r="P173" s="293">
        <f>LEN(Errorlog_table[[#This Row],[AIR]])</f>
        <v>7</v>
      </c>
      <c r="Q173" cm="1">
        <f t="array" ref="Q173">IF(OR(Errorlog_table[[#This Row],[AIR]]="n/a",Errorlog_table[[#This Row],[Event_code]]="Y"),"n/a",IF(Errorlog_table[[#This Row],[AIR]]="","no AIR",_xlfn.XLOOKUP(Errorlog_table[[#This Row],[AIR]],AIR_dump[[#All],[Number]],AIR_dump[[#All],[Type]],"not found",0,1)))</f>
        <v>0</v>
      </c>
      <c r="R173" s="283" t="str" cm="1">
        <f t="array" ref="R173">IF(OR(Errorlog_table[[#This Row],[AIR]]="n/a",Errorlog_table[[#This Row],[Event_code]]="Y"),"n/a",IF(Errorlog_table[[#This Row],[AIR]]="","no AIR",_xlfn.XLOOKUP(Errorlog_table[[#This Row],[AIR]],AIR_dump[[#All],[Number]],AIR_dump[[#All],[Summary]],"not found",0,1)))</f>
        <v>P853275 - NXE:3800E and EXE:5000 Destination Violation Error ZH-221D</v>
      </c>
      <c r="S173" s="347" t="str" cm="1">
        <f t="array" ref="S173">_xlfn.XLOOKUP(Errorlog_table[[#This Row],[AIR]],AIR_dump[[#All],[Number]],AIR_dump[[#All],[Close notes]])</f>
        <v>Firmware delivered W19 (COB swap done)</v>
      </c>
      <c r="T173" s="347">
        <f>Errorlog_table[[#This Row],[Year_Week_Number]]</f>
        <v>202533</v>
      </c>
      <c r="U173" s="285" t="s">
        <v>230</v>
      </c>
      <c r="V173" s="421" t="s">
        <v>230</v>
      </c>
      <c r="W173" s="307" t="str">
        <f>Errorlog_table[[#This Row],[System]]</f>
        <v>GY86</v>
      </c>
      <c r="X173" s="347" t="str">
        <f>Errorlog_table[[#This Row],[link]]</f>
        <v>P853275</v>
      </c>
      <c r="Y173" s="287" t="str">
        <f>Errorlog_table[[#This Row],[Root_Error]]</f>
        <v>ZH-221D</v>
      </c>
      <c r="Z173" s="293" t="str">
        <f>Errorlog_table[[#This Row],[Description]]</f>
        <v>EpmID:131958| SCN - Lot Abort | ZH-221D |</v>
      </c>
      <c r="AA173" s="293" t="str">
        <f t="shared" si="9"/>
        <v>Short down</v>
      </c>
      <c r="AB173" s="315">
        <f ca="1">_xlfn.ISOWEEKNUM(Errorlog_table[[#This Row],[Date]])+52*(Errorlog_table[[#This Row],[Year]]-YEAR(DATE(YEAR(TODAY()-WEEKDAY(TODAY()-1)+4),1,1)-MOD((DATE(YEAR(TODAY()-WEEKDAY(TODAY()-1)+4),1,1)-2),7)+(7*IF(MOD((DATE(YEAR(TODAY()-WEEKDAY(TODAY()-1)+4),1,1)-2),7)&gt;3,1,0))+7) )-_xlfn.ISOWEEKNUM(NOW())</f>
        <v>-4</v>
      </c>
      <c r="AC173" s="293">
        <f>COUNTIF(MTBF_pareto[AIR],Errorlog_table[[#This Row],[AIR]])</f>
        <v>0</v>
      </c>
      <c r="AD173" s="306" t="str">
        <f>TEXT(Errorlog_table[[#This Row],[Date]],"yyyy-mm-dd")&amp;"_"&amp;TEXT(Errorlog_table[[#This Row],[SDT_Timestamp]],"HH:MM:SS")&amp;"_"&amp;Errorlog_table[[#This Row],[System]]</f>
        <v>2025-08-17_06:39:00_GY86</v>
      </c>
      <c r="AE173" s="287" t="str">
        <f>Errorlog_table[[#This Row],[P_Hits]]</f>
        <v>Y</v>
      </c>
      <c r="AF173" s="287">
        <v>1</v>
      </c>
    </row>
    <row r="174" spans="1:32" ht="15">
      <c r="A174" s="393" t="s">
        <v>12</v>
      </c>
      <c r="B174" s="277" t="str">
        <f>VLOOKUP(A174,'5000_Fleet'!A:D,2,FALSE)</f>
        <v>TSMC</v>
      </c>
      <c r="C174" s="221" t="s">
        <v>736</v>
      </c>
      <c r="D174" s="293">
        <f>YEAR(DATE(YEAR(Errorlog_table[[#This Row],[Date]]-WEEKDAY(Errorlog_table[[#This Row],[Date]]-1)+4),1,1)-MOD((DATE(YEAR(Errorlog_table[[#This Row],[Date]]-WEEKDAY(Errorlog_table[[#This Row],[Date]]-1)+4),1,1)-2),7)+(7*IF(MOD((DATE(YEAR(Errorlog_table[[#This Row],[Date]]-WEEKDAY(Errorlog_table[[#This Row],[Date]]-1)+4),1,1)-2),7)&gt;3,1,0))+7)</f>
        <v>2025</v>
      </c>
      <c r="E174" s="315">
        <f>VALUE(TEXT(_xlfn.ISOWEEKNUM(Errorlog_table[[#This Row],[Date]]),"00"))</f>
        <v>34</v>
      </c>
      <c r="F174" s="416">
        <f>VALUE((Errorlog_table[[#This Row],[Year]])&amp;TEXT(Errorlog_table[[#This Row],[Week_Number]],"00"))</f>
        <v>202534</v>
      </c>
      <c r="G174" s="468">
        <v>45887</v>
      </c>
      <c r="H174" s="221" t="s">
        <v>737</v>
      </c>
      <c r="I174" s="221" t="s">
        <v>738</v>
      </c>
      <c r="J174" s="347" t="e">
        <f>IF(LEN(VALUE(MID(Errorlog_table[[#This Row],[Description]],FIND(":",Errorlog_table[[#This Row],[Description]])+1,6)))&gt;1,MID(Errorlog_table[[#This Row],[Description]],FIND(":",Errorlog_table[[#This Row],[Description]])+1,6),"")</f>
        <v>#VALUE!</v>
      </c>
      <c r="K174" s="220">
        <v>4.2816669999999997</v>
      </c>
      <c r="L174" s="418" t="s">
        <v>115</v>
      </c>
      <c r="M174" s="277">
        <v>53227023</v>
      </c>
      <c r="N174" s="277"/>
      <c r="O174" s="409">
        <f t="shared" si="10"/>
        <v>53227023</v>
      </c>
      <c r="P174" s="277">
        <f>LEN(Errorlog_table[[#This Row],[AIR]])</f>
        <v>0</v>
      </c>
      <c r="Q174" t="str" cm="1">
        <f t="array" ref="Q174">IF(OR(Errorlog_table[[#This Row],[AIR]]="n/a",Errorlog_table[[#This Row],[Event_code]]="Y"),"n/a",IF(Errorlog_table[[#This Row],[AIR]]="","no AIR",_xlfn.XLOOKUP(Errorlog_table[[#This Row],[AIR]],AIR_dump[[#All],[Number]],AIR_dump[[#All],[Type]],"not found",0,1)))</f>
        <v>no AIR</v>
      </c>
      <c r="R174" s="282" t="str" cm="1">
        <f t="array" ref="R174">IF(OR(Errorlog_table[[#This Row],[AIR]]="n/a",Errorlog_table[[#This Row],[Event_code]]="Y"),"n/a",IF(Errorlog_table[[#This Row],[AIR]]="","no AIR",_xlfn.XLOOKUP(Errorlog_table[[#This Row],[AIR]],AIR_dump[[#All],[Number]],AIR_dump[[#All],[Summary]],"not found",0,1)))</f>
        <v>no AIR</v>
      </c>
      <c r="S174" s="347" cm="1">
        <f t="array" ref="S174">_xlfn.XLOOKUP(Errorlog_table[[#This Row],[AIR]],AIR_dump[[#All],[Number]],AIR_dump[[#All],[Close notes]])</f>
        <v>0</v>
      </c>
      <c r="T174" s="347">
        <f>Errorlog_table[[#This Row],[Year_Week_Number]]</f>
        <v>202534</v>
      </c>
      <c r="U174" s="285" t="s">
        <v>230</v>
      </c>
      <c r="V174" s="421" t="s">
        <v>230</v>
      </c>
      <c r="W174" s="285" t="str">
        <f>Errorlog_table[[#This Row],[System]]</f>
        <v>GT69</v>
      </c>
      <c r="X174" s="366">
        <f>Errorlog_table[[#This Row],[link]]</f>
        <v>53227023</v>
      </c>
      <c r="Y174" s="287" t="str">
        <f>Errorlog_table[[#This Row],[Root_Error]]</f>
        <v>DW-2405</v>
      </c>
      <c r="Z174" s="277" t="str">
        <f>Errorlog_table[[#This Row],[Description]]</f>
        <v>mGT69 machine suffer DW-2405 (adjusting flow during pellicle test)</v>
      </c>
      <c r="AA174" s="277" t="str">
        <f t="shared" si="9"/>
        <v>Short down</v>
      </c>
      <c r="AB174" s="278">
        <f ca="1">_xlfn.ISOWEEKNUM(Errorlog_table[[#This Row],[Date]])+52*(Errorlog_table[[#This Row],[Year]]-YEAR(DATE(YEAR(TODAY()-WEEKDAY(TODAY()-1)+4),1,1)-MOD((DATE(YEAR(TODAY()-WEEKDAY(TODAY()-1)+4),1,1)-2),7)+(7*IF(MOD((DATE(YEAR(TODAY()-WEEKDAY(TODAY()-1)+4),1,1)-2),7)&gt;3,1,0))+7) )-_xlfn.ISOWEEKNUM(NOW())</f>
        <v>-3</v>
      </c>
      <c r="AC174" s="277">
        <f>COUNTIF(MTBF_pareto[AIR],Errorlog_table[[#This Row],[AIR]])</f>
        <v>0</v>
      </c>
      <c r="AD174" s="306" t="str">
        <f>TEXT(Errorlog_table[[#This Row],[Date]],"yyyy-mm-dd")&amp;"_"&amp;TEXT(Errorlog_table[[#This Row],[SDT_Timestamp]],"HH:MM:SS")&amp;"_"&amp;Errorlog_table[[#This Row],[System]]</f>
        <v>2025-08-18_13:11:18_GT69</v>
      </c>
      <c r="AE174" s="287" t="str">
        <f>Errorlog_table[[#This Row],[P_Hits]]</f>
        <v>Y</v>
      </c>
      <c r="AF174" s="287">
        <v>1</v>
      </c>
    </row>
    <row r="175" spans="1:32" ht="15">
      <c r="A175" s="393" t="s">
        <v>12</v>
      </c>
      <c r="B175" s="277" t="str">
        <f>VLOOKUP(A175,'5000_Fleet'!A:D,2,FALSE)</f>
        <v>TSMC</v>
      </c>
      <c r="C175" s="221" t="s">
        <v>744</v>
      </c>
      <c r="D175" s="293">
        <f>YEAR(DATE(YEAR(Errorlog_table[[#This Row],[Date]]-WEEKDAY(Errorlog_table[[#This Row],[Date]]-1)+4),1,1)-MOD((DATE(YEAR(Errorlog_table[[#This Row],[Date]]-WEEKDAY(Errorlog_table[[#This Row],[Date]]-1)+4),1,1)-2),7)+(7*IF(MOD((DATE(YEAR(Errorlog_table[[#This Row],[Date]]-WEEKDAY(Errorlog_table[[#This Row],[Date]]-1)+4),1,1)-2),7)&gt;3,1,0))+7)</f>
        <v>2025</v>
      </c>
      <c r="E175" s="315">
        <f>VALUE(TEXT(_xlfn.ISOWEEKNUM(Errorlog_table[[#This Row],[Date]]),"00"))</f>
        <v>34</v>
      </c>
      <c r="F175" s="416">
        <f>VALUE((Errorlog_table[[#This Row],[Year]])&amp;TEXT(Errorlog_table[[#This Row],[Week_Number]],"00"))</f>
        <v>202534</v>
      </c>
      <c r="G175" s="468">
        <v>45887</v>
      </c>
      <c r="H175" s="221" t="s">
        <v>745</v>
      </c>
      <c r="I175" s="221" t="s">
        <v>746</v>
      </c>
      <c r="J175" s="347" t="e">
        <f>IF(LEN(VALUE(MID(Errorlog_table[[#This Row],[Description]],FIND(":",Errorlog_table[[#This Row],[Description]])+1,6)))&gt;1,MID(Errorlog_table[[#This Row],[Description]],FIND(":",Errorlog_table[[#This Row],[Description]])+1,6),"")</f>
        <v>#VALUE!</v>
      </c>
      <c r="K175" s="220">
        <v>2.81</v>
      </c>
      <c r="L175" s="418" t="s">
        <v>524</v>
      </c>
      <c r="M175" s="277">
        <v>53227557</v>
      </c>
      <c r="N175" s="277"/>
      <c r="O175" s="409">
        <f t="shared" si="10"/>
        <v>53227557</v>
      </c>
      <c r="P175" s="277">
        <f>LEN(Errorlog_table[[#This Row],[AIR]])</f>
        <v>0</v>
      </c>
      <c r="Q175" t="str" cm="1">
        <f t="array" ref="Q175">IF(OR(Errorlog_table[[#This Row],[AIR]]="n/a",Errorlog_table[[#This Row],[Event_code]]="Y"),"n/a",IF(Errorlog_table[[#This Row],[AIR]]="","no AIR",_xlfn.XLOOKUP(Errorlog_table[[#This Row],[AIR]],AIR_dump[[#All],[Number]],AIR_dump[[#All],[Type]],"not found",0,1)))</f>
        <v>no AIR</v>
      </c>
      <c r="R175" s="282" t="str" cm="1">
        <f t="array" ref="R175">IF(OR(Errorlog_table[[#This Row],[AIR]]="n/a",Errorlog_table[[#This Row],[Event_code]]="Y"),"n/a",IF(Errorlog_table[[#This Row],[AIR]]="","no AIR",_xlfn.XLOOKUP(Errorlog_table[[#This Row],[AIR]],AIR_dump[[#All],[Number]],AIR_dump[[#All],[Summary]],"not found",0,1)))</f>
        <v>no AIR</v>
      </c>
      <c r="S175" s="347" cm="1">
        <f t="array" ref="S175">_xlfn.XLOOKUP(Errorlog_table[[#This Row],[AIR]],AIR_dump[[#All],[Number]],AIR_dump[[#All],[Close notes]])</f>
        <v>0</v>
      </c>
      <c r="T175" s="347">
        <f>Errorlog_table[[#This Row],[Year_Week_Number]]</f>
        <v>202534</v>
      </c>
      <c r="U175" s="285" t="s">
        <v>239</v>
      </c>
      <c r="V175" s="421" t="s">
        <v>230</v>
      </c>
      <c r="W175" s="285" t="str">
        <f>Errorlog_table[[#This Row],[System]]</f>
        <v>GT69</v>
      </c>
      <c r="X175" s="366">
        <f>Errorlog_table[[#This Row],[link]]</f>
        <v>53227557</v>
      </c>
      <c r="Y175" s="287" t="str">
        <f>Errorlog_table[[#This Row],[Root_Error]]</f>
        <v>KE-9504</v>
      </c>
      <c r="Z175" s="277" t="str">
        <f>Errorlog_table[[#This Row],[Description]]</f>
        <v>mGT69 EMSIMI failed by KE-9504/P/C AL/IS/ILIAS (MMCR) and initial ok</v>
      </c>
      <c r="AA175" s="277" t="str">
        <f t="shared" si="9"/>
        <v>Short down</v>
      </c>
      <c r="AB175" s="278">
        <f ca="1">_xlfn.ISOWEEKNUM(Errorlog_table[[#This Row],[Date]])+52*(Errorlog_table[[#This Row],[Year]]-YEAR(DATE(YEAR(TODAY()-WEEKDAY(TODAY()-1)+4),1,1)-MOD((DATE(YEAR(TODAY()-WEEKDAY(TODAY()-1)+4),1,1)-2),7)+(7*IF(MOD((DATE(YEAR(TODAY()-WEEKDAY(TODAY()-1)+4),1,1)-2),7)&gt;3,1,0))+7) )-_xlfn.ISOWEEKNUM(NOW())</f>
        <v>-3</v>
      </c>
      <c r="AC175" s="277">
        <f>COUNTIF(MTBF_pareto[AIR],Errorlog_table[[#This Row],[AIR]])</f>
        <v>0</v>
      </c>
      <c r="AD175" s="306" t="str">
        <f>TEXT(Errorlog_table[[#This Row],[Date]],"yyyy-mm-dd")&amp;"_"&amp;TEXT(Errorlog_table[[#This Row],[SDT_Timestamp]],"HH:MM:SS")&amp;"_"&amp;Errorlog_table[[#This Row],[System]]</f>
        <v>2025-08-18_17:28:13_GT69</v>
      </c>
      <c r="AE175" s="287" t="str">
        <f>Errorlog_table[[#This Row],[P_Hits]]</f>
        <v>N</v>
      </c>
      <c r="AF175" s="287">
        <v>1</v>
      </c>
    </row>
    <row r="176" spans="1:32" ht="15">
      <c r="A176" s="393" t="s">
        <v>12</v>
      </c>
      <c r="B176" s="277" t="str">
        <f>VLOOKUP(A176,'5000_Fleet'!A:D,2,FALSE)</f>
        <v>TSMC</v>
      </c>
      <c r="C176" s="221" t="s">
        <v>164</v>
      </c>
      <c r="D176" s="293">
        <f>YEAR(DATE(YEAR(Errorlog_table[[#This Row],[Date]]-WEEKDAY(Errorlog_table[[#This Row],[Date]]-1)+4),1,1)-MOD((DATE(YEAR(Errorlog_table[[#This Row],[Date]]-WEEKDAY(Errorlog_table[[#This Row],[Date]]-1)+4),1,1)-2),7)+(7*IF(MOD((DATE(YEAR(Errorlog_table[[#This Row],[Date]]-WEEKDAY(Errorlog_table[[#This Row],[Date]]-1)+4),1,1)-2),7)&gt;3,1,0))+7)</f>
        <v>2025</v>
      </c>
      <c r="E176" s="315">
        <f>VALUE(TEXT(_xlfn.ISOWEEKNUM(Errorlog_table[[#This Row],[Date]]),"00"))</f>
        <v>34</v>
      </c>
      <c r="F176" s="416">
        <f>VALUE((Errorlog_table[[#This Row],[Year]])&amp;TEXT(Errorlog_table[[#This Row],[Week_Number]],"00"))</f>
        <v>202534</v>
      </c>
      <c r="G176" s="468">
        <v>45888</v>
      </c>
      <c r="H176" s="221" t="s">
        <v>739</v>
      </c>
      <c r="I176" s="221" t="s">
        <v>740</v>
      </c>
      <c r="J176" s="347" t="e">
        <f>IF(LEN(VALUE(MID(Errorlog_table[[#This Row],[Description]],FIND(":",Errorlog_table[[#This Row],[Description]])+1,6)))&gt;1,MID(Errorlog_table[[#This Row],[Description]],FIND(":",Errorlog_table[[#This Row],[Description]])+1,6),"")</f>
        <v>#VALUE!</v>
      </c>
      <c r="K176" s="220">
        <v>3.7683330000000002</v>
      </c>
      <c r="L176" s="418" t="s">
        <v>98</v>
      </c>
      <c r="M176" s="277">
        <v>53219953</v>
      </c>
      <c r="N176" s="277"/>
      <c r="O176" s="409">
        <f t="shared" si="10"/>
        <v>53219953</v>
      </c>
      <c r="P176" s="277">
        <f>LEN(Errorlog_table[[#This Row],[AIR]])</f>
        <v>0</v>
      </c>
      <c r="Q176" t="str" cm="1">
        <f t="array" ref="Q176">IF(OR(Errorlog_table[[#This Row],[AIR]]="n/a",Errorlog_table[[#This Row],[Event_code]]="Y"),"n/a",IF(Errorlog_table[[#This Row],[AIR]]="","no AIR",_xlfn.XLOOKUP(Errorlog_table[[#This Row],[AIR]],AIR_dump[[#All],[Number]],AIR_dump[[#All],[Type]],"not found",0,1)))</f>
        <v>no AIR</v>
      </c>
      <c r="R176" s="282" t="str" cm="1">
        <f t="array" ref="R176">IF(OR(Errorlog_table[[#This Row],[AIR]]="n/a",Errorlog_table[[#This Row],[Event_code]]="Y"),"n/a",IF(Errorlog_table[[#This Row],[AIR]]="","no AIR",_xlfn.XLOOKUP(Errorlog_table[[#This Row],[AIR]],AIR_dump[[#All],[Number]],AIR_dump[[#All],[Summary]],"not found",0,1)))</f>
        <v>no AIR</v>
      </c>
      <c r="S176" s="347" cm="1">
        <f t="array" ref="S176">_xlfn.XLOOKUP(Errorlog_table[[#This Row],[AIR]],AIR_dump[[#All],[Number]],AIR_dump[[#All],[Close notes]])</f>
        <v>0</v>
      </c>
      <c r="T176" s="347">
        <f>Errorlog_table[[#This Row],[Year_Week_Number]]</f>
        <v>202534</v>
      </c>
      <c r="U176" s="285" t="s">
        <v>239</v>
      </c>
      <c r="V176" s="421" t="s">
        <v>230</v>
      </c>
      <c r="W176" s="285" t="str">
        <f>Errorlog_table[[#This Row],[System]]</f>
        <v>GT69</v>
      </c>
      <c r="X176" s="366">
        <f>Errorlog_table[[#This Row],[link]]</f>
        <v>53219953</v>
      </c>
      <c r="Y176" s="287" t="str">
        <f>Errorlog_table[[#This Row],[Root_Error]]</f>
        <v>WP-2C1D</v>
      </c>
      <c r="Z176" s="277" t="str">
        <f>Errorlog_table[[#This Row],[Description]]</f>
        <v>mGT69 DYPL test fail by WP-2C1D / system restart required</v>
      </c>
      <c r="AA176" s="277" t="str">
        <f t="shared" si="9"/>
        <v>Short down</v>
      </c>
      <c r="AB176" s="278">
        <f ca="1">_xlfn.ISOWEEKNUM(Errorlog_table[[#This Row],[Date]])+52*(Errorlog_table[[#This Row],[Year]]-YEAR(DATE(YEAR(TODAY()-WEEKDAY(TODAY()-1)+4),1,1)-MOD((DATE(YEAR(TODAY()-WEEKDAY(TODAY()-1)+4),1,1)-2),7)+(7*IF(MOD((DATE(YEAR(TODAY()-WEEKDAY(TODAY()-1)+4),1,1)-2),7)&gt;3,1,0))+7) )-_xlfn.ISOWEEKNUM(NOW())</f>
        <v>-3</v>
      </c>
      <c r="AC176" s="277">
        <f>COUNTIF(MTBF_pareto[AIR],Errorlog_table[[#This Row],[AIR]])</f>
        <v>0</v>
      </c>
      <c r="AD176" s="306" t="str">
        <f>TEXT(Errorlog_table[[#This Row],[Date]],"yyyy-mm-dd")&amp;"_"&amp;TEXT(Errorlog_table[[#This Row],[SDT_Timestamp]],"HH:MM:SS")&amp;"_"&amp;Errorlog_table[[#This Row],[System]]</f>
        <v>2025-08-19_03:43:00_GT69</v>
      </c>
      <c r="AE176" s="287" t="str">
        <f>Errorlog_table[[#This Row],[P_Hits]]</f>
        <v>N</v>
      </c>
      <c r="AF176" s="287">
        <v>1</v>
      </c>
    </row>
    <row r="177" spans="1:32" ht="28.5">
      <c r="A177" s="495" t="s">
        <v>4</v>
      </c>
      <c r="B177" s="488" t="str">
        <f>VLOOKUP(A177,'5000_Fleet'!A:D,2,FALSE)</f>
        <v>Intel</v>
      </c>
      <c r="C177" s="480" t="s">
        <v>747</v>
      </c>
      <c r="D177" s="479">
        <f>YEAR(DATE(YEAR(Errorlog_table[[#This Row],[Date]]-WEEKDAY(Errorlog_table[[#This Row],[Date]]-1)+4),1,1)-MOD((DATE(YEAR(Errorlog_table[[#This Row],[Date]]-WEEKDAY(Errorlog_table[[#This Row],[Date]]-1)+4),1,1)-2),7)+(7*IF(MOD((DATE(YEAR(Errorlog_table[[#This Row],[Date]]-WEEKDAY(Errorlog_table[[#This Row],[Date]]-1)+4),1,1)-2),7)&gt;3,1,0))+7)</f>
        <v>2025</v>
      </c>
      <c r="E177" s="481">
        <f>VALUE(TEXT(_xlfn.ISOWEEKNUM(Errorlog_table[[#This Row],[Date]]),"00"))</f>
        <v>34</v>
      </c>
      <c r="F177" s="416">
        <f>VALUE((Errorlog_table[[#This Row],[Year]])&amp;TEXT(Errorlog_table[[#This Row],[Week_Number]],"00"))</f>
        <v>202534</v>
      </c>
      <c r="G177" s="482">
        <v>45888</v>
      </c>
      <c r="H177" s="480" t="s">
        <v>748</v>
      </c>
      <c r="I177" s="480" t="s">
        <v>749</v>
      </c>
      <c r="J177" s="483" t="str">
        <f>IF(LEN(VALUE(MID(Errorlog_table[[#This Row],[Description]],FIND(":",Errorlog_table[[#This Row],[Description]])+1,6)))&gt;1,MID(Errorlog_table[[#This Row],[Description]],FIND(":",Errorlog_table[[#This Row],[Description]])+1,6),"")</f>
        <v>132407</v>
      </c>
      <c r="K177" s="484">
        <v>1.9</v>
      </c>
      <c r="L177" s="485" t="s">
        <v>530</v>
      </c>
      <c r="M177" s="488">
        <v>53228504</v>
      </c>
      <c r="N177" s="488" t="s">
        <v>750</v>
      </c>
      <c r="O177" s="486" t="str">
        <f t="shared" si="10"/>
        <v>P915252</v>
      </c>
      <c r="P177" s="488">
        <f>LEN(Errorlog_table[[#This Row],[AIR]])</f>
        <v>7</v>
      </c>
      <c r="Q177" s="487" cm="1">
        <f t="array" ref="Q177">IF(OR(Errorlog_table[[#This Row],[AIR]]="n/a",Errorlog_table[[#This Row],[Event_code]]="Y"),"n/a",IF(Errorlog_table[[#This Row],[AIR]]="","no AIR",_xlfn.XLOOKUP(Errorlog_table[[#This Row],[AIR]],AIR_dump[[#All],[Number]],AIR_dump[[#All],[Type]],"not found",0,1)))</f>
        <v>0</v>
      </c>
      <c r="R177" s="505" t="str" cm="1">
        <f t="array" ref="R177">IF(OR(Errorlog_table[[#This Row],[AIR]]="n/a",Errorlog_table[[#This Row],[Event_code]]="Y"),"n/a",IF(Errorlog_table[[#This Row],[AIR]]="","no AIR",_xlfn.XLOOKUP(Errorlog_table[[#This Row],[AIR]],AIR_dump[[#All],[Number]],AIR_dump[[#All],[Summary]],"not found",0,1)))</f>
        <v>EpmID:132407| SCN - lot abort on RM-3247 | RM-3247 | CR51 19/08/2025</v>
      </c>
      <c r="S177" s="483" cm="1">
        <f t="array" ref="S177">_xlfn.XLOOKUP(Errorlog_table[[#This Row],[AIR]],AIR_dump[[#All],[Number]],AIR_dump[[#All],[Close notes]])</f>
        <v>0</v>
      </c>
      <c r="T177" s="483">
        <f>Errorlog_table[[#This Row],[Year_Week_Number]]</f>
        <v>202534</v>
      </c>
      <c r="U177" s="488" t="s">
        <v>230</v>
      </c>
      <c r="V177" s="489" t="s">
        <v>230</v>
      </c>
      <c r="W177" s="488" t="str">
        <f>Errorlog_table[[#This Row],[System]]</f>
        <v>CR51</v>
      </c>
      <c r="X177" s="507" t="str">
        <f>Errorlog_table[[#This Row],[link]]</f>
        <v>P915252</v>
      </c>
      <c r="Y177" s="489" t="str">
        <f>Errorlog_table[[#This Row],[Root_Error]]</f>
        <v>RM-3247</v>
      </c>
      <c r="Z177" s="488" t="str">
        <f>Errorlog_table[[#This Row],[Description]]</f>
        <v>EpmID:132407| SCN - lot abort on RM-3247 | RM-3247 |</v>
      </c>
      <c r="AA177" s="488" t="str">
        <f t="shared" si="9"/>
        <v>Short down</v>
      </c>
      <c r="AB177" s="509">
        <f ca="1">_xlfn.ISOWEEKNUM(Errorlog_table[[#This Row],[Date]])+52*(Errorlog_table[[#This Row],[Year]]-YEAR(DATE(YEAR(TODAY()-WEEKDAY(TODAY()-1)+4),1,1)-MOD((DATE(YEAR(TODAY()-WEEKDAY(TODAY()-1)+4),1,1)-2),7)+(7*IF(MOD((DATE(YEAR(TODAY()-WEEKDAY(TODAY()-1)+4),1,1)-2),7)&gt;3,1,0))+7) )-_xlfn.ISOWEEKNUM(NOW())</f>
        <v>-3</v>
      </c>
      <c r="AC177" s="488">
        <f>COUNTIF(MTBF_pareto[AIR],Errorlog_table[[#This Row],[AIR]])</f>
        <v>0</v>
      </c>
      <c r="AD177" s="490" t="str">
        <f>TEXT(Errorlog_table[[#This Row],[Date]],"yyyy-mm-dd")&amp;"_"&amp;TEXT(Errorlog_table[[#This Row],[SDT_Timestamp]],"HH:MM:SS")&amp;"_"&amp;Errorlog_table[[#This Row],[System]]</f>
        <v>2025-08-19_16:21:00_CR51</v>
      </c>
      <c r="AE177" s="489" t="str">
        <f>Errorlog_table[[#This Row],[P_Hits]]</f>
        <v>Y</v>
      </c>
      <c r="AF177" s="287">
        <v>1</v>
      </c>
    </row>
    <row r="178" spans="1:32" s="491" customFormat="1" ht="15">
      <c r="A178" s="397" t="s">
        <v>12</v>
      </c>
      <c r="B178" s="293" t="str">
        <f>VLOOKUP(A178,'5000_Fleet'!A:D,2,FALSE)</f>
        <v>TSMC</v>
      </c>
      <c r="C178" s="221" t="s">
        <v>350</v>
      </c>
      <c r="D178" s="293">
        <f>YEAR(DATE(YEAR(Errorlog_table[[#This Row],[Date]]-WEEKDAY(Errorlog_table[[#This Row],[Date]]-1)+4),1,1)-MOD((DATE(YEAR(Errorlog_table[[#This Row],[Date]]-WEEKDAY(Errorlog_table[[#This Row],[Date]]-1)+4),1,1)-2),7)+(7*IF(MOD((DATE(YEAR(Errorlog_table[[#This Row],[Date]]-WEEKDAY(Errorlog_table[[#This Row],[Date]]-1)+4),1,1)-2),7)&gt;3,1,0))+7)</f>
        <v>2025</v>
      </c>
      <c r="E178" s="315">
        <f>VALUE(TEXT(_xlfn.ISOWEEKNUM(Errorlog_table[[#This Row],[Date]]),"00"))</f>
        <v>34</v>
      </c>
      <c r="F178" s="416">
        <f>VALUE((Errorlog_table[[#This Row],[Year]])&amp;TEXT(Errorlog_table[[#This Row],[Week_Number]],"00"))</f>
        <v>202534</v>
      </c>
      <c r="G178" s="468">
        <v>45893</v>
      </c>
      <c r="H178" s="221" t="s">
        <v>741</v>
      </c>
      <c r="I178" s="221" t="s">
        <v>742</v>
      </c>
      <c r="J178" s="347" t="e">
        <f>IF(LEN(VALUE(MID(Errorlog_table[[#This Row],[Description]],FIND(":",Errorlog_table[[#This Row],[Description]])+1,6)))&gt;1,MID(Errorlog_table[[#This Row],[Description]],FIND(":",Errorlog_table[[#This Row],[Description]])+1,6),"")</f>
        <v>#VALUE!</v>
      </c>
      <c r="K178" s="220">
        <v>6.9027779999999996</v>
      </c>
      <c r="L178" s="418" t="s">
        <v>127</v>
      </c>
      <c r="M178" s="293">
        <v>53232580</v>
      </c>
      <c r="N178" t="s">
        <v>2603</v>
      </c>
      <c r="O178" s="409" t="str">
        <f t="shared" si="10"/>
        <v>P879404</v>
      </c>
      <c r="P178" s="293">
        <f>LEN(Errorlog_table[[#This Row],[AIR]])</f>
        <v>7</v>
      </c>
      <c r="Q178" t="str" cm="1">
        <f t="array" ref="Q178">IF(OR(Errorlog_table[[#This Row],[AIR]]="n/a",Errorlog_table[[#This Row],[Event_code]]="Y"),"n/a",IF(Errorlog_table[[#This Row],[AIR]]="","no AIR",_xlfn.XLOOKUP(Errorlog_table[[#This Row],[AIR]],AIR_dump[[#All],[Number]],AIR_dump[[#All],[Type]],"not found",0,1)))</f>
        <v>not found</v>
      </c>
      <c r="R178" s="283" t="str" cm="1">
        <f t="array" ref="R178">IF(OR(Errorlog_table[[#This Row],[AIR]]="n/a",Errorlog_table[[#This Row],[Event_code]]="Y"),"n/a",IF(Errorlog_table[[#This Row],[AIR]]="","no AIR",_xlfn.XLOOKUP(Errorlog_table[[#This Row],[AIR]],AIR_dump[[#All],[Number]],AIR_dump[[#All],[Summary]],"not found",0,1)))</f>
        <v>not found</v>
      </c>
      <c r="S178" s="347" t="e" cm="1">
        <f t="array" ref="S178">_xlfn.XLOOKUP(Errorlog_table[[#This Row],[AIR]],AIR_dump[[#All],[Number]],AIR_dump[[#All],[Close notes]])</f>
        <v>#N/A</v>
      </c>
      <c r="T178" s="347">
        <f>Errorlog_table[[#This Row],[Year_Week_Number]]</f>
        <v>202534</v>
      </c>
      <c r="U178" s="285" t="s">
        <v>239</v>
      </c>
      <c r="V178" s="421" t="s">
        <v>230</v>
      </c>
      <c r="W178" s="307" t="str">
        <f>Errorlog_table[[#This Row],[System]]</f>
        <v>GT69</v>
      </c>
      <c r="X178" s="347" t="str">
        <f>Errorlog_table[[#This Row],[link]]</f>
        <v>P879404</v>
      </c>
      <c r="Y178" s="287" t="str">
        <f>Errorlog_table[[#This Row],[Root_Error]]</f>
        <v>OO-000B</v>
      </c>
      <c r="Z178" s="293" t="str">
        <f>Errorlog_table[[#This Row],[Description]]</f>
        <v>mGT69 Task LOUDQT died on OO-000B MTBI hit</v>
      </c>
      <c r="AA178" s="293" t="str">
        <f t="shared" si="9"/>
        <v>Short down</v>
      </c>
      <c r="AB178" s="315">
        <f ca="1">_xlfn.ISOWEEKNUM(Errorlog_table[[#This Row],[Date]])+52*(Errorlog_table[[#This Row],[Year]]-YEAR(DATE(YEAR(TODAY()-WEEKDAY(TODAY()-1)+4),1,1)-MOD((DATE(YEAR(TODAY()-WEEKDAY(TODAY()-1)+4),1,1)-2),7)+(7*IF(MOD((DATE(YEAR(TODAY()-WEEKDAY(TODAY()-1)+4),1,1)-2),7)&gt;3,1,0))+7) )-_xlfn.ISOWEEKNUM(NOW())</f>
        <v>-3</v>
      </c>
      <c r="AC178" s="293">
        <f>COUNTIF(MTBF_pareto[AIR],Errorlog_table[[#This Row],[AIR]])</f>
        <v>0</v>
      </c>
      <c r="AD178" s="306" t="str">
        <f>TEXT(Errorlog_table[[#This Row],[Date]],"yyyy-mm-dd")&amp;"_"&amp;TEXT(Errorlog_table[[#This Row],[SDT_Timestamp]],"HH:MM:SS")&amp;"_"&amp;Errorlog_table[[#This Row],[System]]</f>
        <v>2025-08-24_15:24:00_GT69</v>
      </c>
      <c r="AE178" s="287" t="str">
        <f>Errorlog_table[[#This Row],[P_Hits]]</f>
        <v>N</v>
      </c>
      <c r="AF178" s="287">
        <v>1</v>
      </c>
    </row>
    <row r="179" spans="1:32" ht="15">
      <c r="A179" s="398" t="s">
        <v>7</v>
      </c>
      <c r="B179" s="293" t="str">
        <f>VLOOKUP(A179,'5000_Fleet'!A:D,2,FALSE)</f>
        <v>Intel</v>
      </c>
      <c r="C179" s="293" t="s">
        <v>2604</v>
      </c>
      <c r="D179" s="293">
        <f>YEAR(DATE(YEAR(Errorlog_table[[#This Row],[Date]]-WEEKDAY(Errorlog_table[[#This Row],[Date]]-1)+4),1,1)-MOD((DATE(YEAR(Errorlog_table[[#This Row],[Date]]-WEEKDAY(Errorlog_table[[#This Row],[Date]]-1)+4),1,1)-2),7)+(7*IF(MOD((DATE(YEAR(Errorlog_table[[#This Row],[Date]]-WEEKDAY(Errorlog_table[[#This Row],[Date]]-1)+4),1,1)-2),7)&gt;3,1,0))+7)</f>
        <v>2025</v>
      </c>
      <c r="E179" s="315">
        <f>VALUE(TEXT(_xlfn.ISOWEEKNUM(Errorlog_table[[#This Row],[Date]]),"00"))</f>
        <v>35</v>
      </c>
      <c r="F179" s="416">
        <f>VALUE((Errorlog_table[[#This Row],[Year]])&amp;TEXT(Errorlog_table[[#This Row],[Week_Number]],"00"))</f>
        <v>202535</v>
      </c>
      <c r="G179" s="370">
        <v>45894</v>
      </c>
      <c r="H179" t="s">
        <v>2598</v>
      </c>
      <c r="I179" t="s">
        <v>2606</v>
      </c>
      <c r="J179" s="347" t="str">
        <f>IF(LEN(VALUE(MID(Errorlog_table[[#This Row],[Description]],FIND(":",Errorlog_table[[#This Row],[Description]])+1,6)))&gt;1,MID(Errorlog_table[[#This Row],[Description]],FIND(":",Errorlog_table[[#This Row],[Description]])+1,6),"")</f>
        <v>133450</v>
      </c>
      <c r="K179" s="37">
        <v>1.9666669999999999</v>
      </c>
      <c r="L179" s="293"/>
      <c r="M179" s="293">
        <v>53184261</v>
      </c>
      <c r="N179" s="293"/>
      <c r="O179" s="409">
        <f>IF(N179="",HYPERLINK("https://air.asml.com/textsearch.do?sysparm_search="&amp;M179,M179),HYPERLINK("https://air.asml.com/u_qm_issues.do?sysparm_query=number="&amp;N179,N179))</f>
        <v>53184261</v>
      </c>
      <c r="P179" s="293">
        <f>LEN(Errorlog_table[[#This Row],[AIR]])</f>
        <v>0</v>
      </c>
      <c r="Q179" t="str" cm="1">
        <f t="array" ref="Q179">IF(OR(Errorlog_table[[#This Row],[AIR]]="n/a",Errorlog_table[[#This Row],[Event_code]]="Y"),"n/a",IF(Errorlog_table[[#This Row],[AIR]]="","no AIR",_xlfn.XLOOKUP(Errorlog_table[[#This Row],[AIR]],AIR_dump[[#All],[Number]],AIR_dump[[#All],[Type]],"not found",0,1)))</f>
        <v>no AIR</v>
      </c>
      <c r="R179" s="283" t="str" cm="1">
        <f t="array" ref="R179">IF(OR(Errorlog_table[[#This Row],[AIR]]="n/a",Errorlog_table[[#This Row],[Event_code]]="Y"),"n/a",IF(Errorlog_table[[#This Row],[AIR]]="","no AIR",_xlfn.XLOOKUP(Errorlog_table[[#This Row],[AIR]],AIR_dump[[#All],[Number]],AIR_dump[[#All],[Summary]],"not found",0,1)))</f>
        <v>no AIR</v>
      </c>
      <c r="S179" s="347" cm="1">
        <f t="array" ref="S179">_xlfn.XLOOKUP(Errorlog_table[[#This Row],[AIR]],AIR_dump[[#All],[Number]],AIR_dump[[#All],[Close notes]])</f>
        <v>0</v>
      </c>
      <c r="T179" s="347">
        <f>Errorlog_table[[#This Row],[Year_Week_Number]]</f>
        <v>202535</v>
      </c>
      <c r="U179" s="285" t="s">
        <v>239</v>
      </c>
      <c r="V179" s="421" t="s">
        <v>230</v>
      </c>
      <c r="W179" s="307" t="str">
        <f>Errorlog_table[[#This Row],[System]]</f>
        <v>GY86</v>
      </c>
      <c r="X179" s="347">
        <f>Errorlog_table[[#This Row],[link]]</f>
        <v>53184261</v>
      </c>
      <c r="Y179" s="287" t="str">
        <f>Errorlog_table[[#This Row],[Root_Error]]</f>
        <v>DFO-1F00</v>
      </c>
      <c r="Z179" s="293" t="str">
        <f>Errorlog_table[[#This Row],[Description]]</f>
        <v>EpmID:133450| SRC - droplet unstable |  |</v>
      </c>
      <c r="AA179" s="293" t="str">
        <f>IF(K179&gt;=12,"XLD","Short down")</f>
        <v>Short down</v>
      </c>
      <c r="AB179" s="315">
        <f ca="1">_xlfn.ISOWEEKNUM(Errorlog_table[[#This Row],[Date]])+52*(Errorlog_table[[#This Row],[Year]]-YEAR(DATE(YEAR(TODAY()-WEEKDAY(TODAY()-1)+4),1,1)-MOD((DATE(YEAR(TODAY()-WEEKDAY(TODAY()-1)+4),1,1)-2),7)+(7*IF(MOD((DATE(YEAR(TODAY()-WEEKDAY(TODAY()-1)+4),1,1)-2),7)&gt;3,1,0))+7) )-_xlfn.ISOWEEKNUM(NOW())</f>
        <v>-2</v>
      </c>
      <c r="AC179" s="293">
        <f>COUNTIF(MTBF_pareto[AIR],Errorlog_table[[#This Row],[AIR]])</f>
        <v>0</v>
      </c>
      <c r="AD179" s="306" t="str">
        <f>TEXT(Errorlog_table[[#This Row],[Date]],"yyyy-mm-dd")&amp;"_"&amp;TEXT(Errorlog_table[[#This Row],[SDT_Timestamp]],"HH:MM:SS")&amp;"_"&amp;Errorlog_table[[#This Row],[System]]</f>
        <v>2025-08-25_00:00:00_GY86</v>
      </c>
      <c r="AE179" s="287" t="str">
        <f>Errorlog_table[[#This Row],[P_Hits]]</f>
        <v>N</v>
      </c>
      <c r="AF179" s="287">
        <v>1</v>
      </c>
    </row>
    <row r="180" spans="1:32" ht="15">
      <c r="A180" s="398" t="s">
        <v>4</v>
      </c>
      <c r="B180" s="293" t="str">
        <f>VLOOKUP(A180,'5000_Fleet'!A:D,2,FALSE)</f>
        <v>Intel</v>
      </c>
      <c r="C180" s="293" t="s">
        <v>2605</v>
      </c>
      <c r="D180" s="293">
        <f>YEAR(DATE(YEAR(Errorlog_table[[#This Row],[Date]]-WEEKDAY(Errorlog_table[[#This Row],[Date]]-1)+4),1,1)-MOD((DATE(YEAR(Errorlog_table[[#This Row],[Date]]-WEEKDAY(Errorlog_table[[#This Row],[Date]]-1)+4),1,1)-2),7)+(7*IF(MOD((DATE(YEAR(Errorlog_table[[#This Row],[Date]]-WEEKDAY(Errorlog_table[[#This Row],[Date]]-1)+4),1,1)-2),7)&gt;3,1,0))+7)</f>
        <v>2025</v>
      </c>
      <c r="E180" s="315">
        <f>VALUE(TEXT(_xlfn.ISOWEEKNUM(Errorlog_table[[#This Row],[Date]]),"00"))</f>
        <v>35</v>
      </c>
      <c r="F180" s="416">
        <f>VALUE((Errorlog_table[[#This Row],[Year]])&amp;TEXT(Errorlog_table[[#This Row],[Week_Number]],"00"))</f>
        <v>202535</v>
      </c>
      <c r="G180" s="511">
        <v>45894</v>
      </c>
      <c r="H180" t="s">
        <v>2599</v>
      </c>
      <c r="I180" t="s">
        <v>2607</v>
      </c>
      <c r="J180" s="347" t="str">
        <f>IF(LEN(VALUE(MID(Errorlog_table[[#This Row],[Description]],FIND(":",Errorlog_table[[#This Row],[Description]])+1,6)))&gt;1,MID(Errorlog_table[[#This Row],[Description]],FIND(":",Errorlog_table[[#This Row],[Description]])+1,6),"")</f>
        <v>133160</v>
      </c>
      <c r="K180" s="37">
        <v>183.19916699999999</v>
      </c>
      <c r="L180" t="s">
        <v>114</v>
      </c>
      <c r="M180" s="293">
        <v>53234125</v>
      </c>
      <c r="N180" s="293"/>
      <c r="O180" s="409">
        <f>IF(N180="",HYPERLINK("https://air.asml.com/textsearch.do?sysparm_search="&amp;M180,M180),HYPERLINK("https://air.asml.com/u_qm_issues.do?sysparm_query=number="&amp;N180,N180))</f>
        <v>53234125</v>
      </c>
      <c r="P180" s="293">
        <f>LEN(Errorlog_table[[#This Row],[AIR]])</f>
        <v>0</v>
      </c>
      <c r="Q180" t="str" cm="1">
        <f t="array" ref="Q180">IF(OR(Errorlog_table[[#This Row],[AIR]]="n/a",Errorlog_table[[#This Row],[Event_code]]="Y"),"n/a",IF(Errorlog_table[[#This Row],[AIR]]="","no AIR",_xlfn.XLOOKUP(Errorlog_table[[#This Row],[AIR]],AIR_dump[[#All],[Number]],AIR_dump[[#All],[Type]],"not found",0,1)))</f>
        <v>no AIR</v>
      </c>
      <c r="R180" s="283" t="str" cm="1">
        <f t="array" ref="R180">IF(OR(Errorlog_table[[#This Row],[AIR]]="n/a",Errorlog_table[[#This Row],[Event_code]]="Y"),"n/a",IF(Errorlog_table[[#This Row],[AIR]]="","no AIR",_xlfn.XLOOKUP(Errorlog_table[[#This Row],[AIR]],AIR_dump[[#All],[Number]],AIR_dump[[#All],[Summary]],"not found",0,1)))</f>
        <v>no AIR</v>
      </c>
      <c r="S180" s="347" cm="1">
        <f t="array" ref="S180">_xlfn.XLOOKUP(Errorlog_table[[#This Row],[AIR]],AIR_dump[[#All],[Number]],AIR_dump[[#All],[Close notes]])</f>
        <v>0</v>
      </c>
      <c r="T180" s="347">
        <f>Errorlog_table[[#This Row],[Year_Week_Number]]</f>
        <v>202535</v>
      </c>
      <c r="U180" s="285" t="s">
        <v>239</v>
      </c>
      <c r="V180" s="421" t="s">
        <v>230</v>
      </c>
      <c r="W180" s="307" t="str">
        <f>Errorlog_table[[#This Row],[System]]</f>
        <v>CR51</v>
      </c>
      <c r="X180" s="347">
        <f>Errorlog_table[[#This Row],[link]]</f>
        <v>53234125</v>
      </c>
      <c r="Y180" s="287" t="str">
        <f>Errorlog_table[[#This Row],[Root_Error]]</f>
        <v>ZF-36B7</v>
      </c>
      <c r="Z180" s="293" t="str">
        <f>Errorlog_table[[#This Row],[Description]]</f>
        <v>EpmID:133160| SCN - MX failed for KE-9504 | ZF-36B7 |</v>
      </c>
      <c r="AA180" s="293" t="str">
        <f>IF(K180&gt;=12,"XLD","Short down")</f>
        <v>XLD</v>
      </c>
      <c r="AB180" s="315">
        <f ca="1">_xlfn.ISOWEEKNUM(Errorlog_table[[#This Row],[Date]])+52*(Errorlog_table[[#This Row],[Year]]-YEAR(DATE(YEAR(TODAY()-WEEKDAY(TODAY()-1)+4),1,1)-MOD((DATE(YEAR(TODAY()-WEEKDAY(TODAY()-1)+4),1,1)-2),7)+(7*IF(MOD((DATE(YEAR(TODAY()-WEEKDAY(TODAY()-1)+4),1,1)-2),7)&gt;3,1,0))+7) )-_xlfn.ISOWEEKNUM(NOW())</f>
        <v>-2</v>
      </c>
      <c r="AC180" s="293">
        <f>COUNTIF(MTBF_pareto[AIR],Errorlog_table[[#This Row],[AIR]])</f>
        <v>0</v>
      </c>
      <c r="AD180" s="306" t="str">
        <f>TEXT(Errorlog_table[[#This Row],[Date]],"yyyy-mm-dd")&amp;"_"&amp;TEXT(Errorlog_table[[#This Row],[SDT_Timestamp]],"HH:MM:SS")&amp;"_"&amp;Errorlog_table[[#This Row],[System]]</f>
        <v>2025-08-25_06:44:57_CR51</v>
      </c>
      <c r="AE180" s="287" t="str">
        <f>Errorlog_table[[#This Row],[P_Hits]]</f>
        <v>N</v>
      </c>
      <c r="AF180" s="287">
        <v>1</v>
      </c>
    </row>
  </sheetData>
  <phoneticPr fontId="2" type="noConversion"/>
  <conditionalFormatting sqref="N15:N17">
    <cfRule type="cellIs" dxfId="62" priority="193" operator="equal">
      <formula>"TBD"</formula>
    </cfRule>
    <cfRule type="expression" dxfId="61" priority="194">
      <formula>IF(AND(OR($U15="AutoRec Succes",$U15="Failed/Lot abort",$U15="Failed/Lot abort no AutoRec",$U15="Failed/Lot abort after AutoRec"),ISBLANK(#REF!)),TRUE,FALSE)</formula>
    </cfRule>
  </conditionalFormatting>
  <conditionalFormatting sqref="N20">
    <cfRule type="cellIs" dxfId="60" priority="3" operator="equal">
      <formula>"TBD"</formula>
    </cfRule>
    <cfRule type="expression" dxfId="59" priority="4">
      <formula>IF(AND(OR($U20="AutoRec Succes",$U20="Failed/Lot abort",$U20="Failed/Lot abort no AutoRec",$U20="Failed/Lot abort after AutoRec"),ISBLANK(#REF!)),TRUE,FALSE)</formula>
    </cfRule>
  </conditionalFormatting>
  <conditionalFormatting sqref="N27">
    <cfRule type="cellIs" dxfId="58" priority="1" operator="equal">
      <formula>"TBD"</formula>
    </cfRule>
    <cfRule type="expression" dxfId="57" priority="2">
      <formula>IF(AND(OR($U27="AutoRec Succes",$U27="Failed/Lot abort",$U27="Failed/Lot abort no AutoRec",$U27="Failed/Lot abort after AutoRec"),ISBLANK(#REF!)),TRUE,FALSE)</formula>
    </cfRule>
  </conditionalFormatting>
  <conditionalFormatting sqref="N92">
    <cfRule type="cellIs" dxfId="56" priority="203" operator="equal">
      <formula>"TBD"</formula>
    </cfRule>
    <cfRule type="expression" dxfId="55" priority="204">
      <formula>IF(AND(OR($S92="AutoRec Succes",$S92="Failed/Lot abort",$S92="Failed/Lot abort no AutoRec",$S92="Failed/Lot abort after AutoRec"),ISBLANK(#REF!)),TRUE,FALSE)</formula>
    </cfRule>
  </conditionalFormatting>
  <conditionalFormatting sqref="Q2:T38 Q39 S39:T39 Q40:T48 Q49 S49:T49 Q50:T50 Q51 S51:T51 Q52:T56 Q56:Q57 S57:T57 Q58:T60 R61:T61 Q61:Q62 Q91 Q100 Q106:Q108">
    <cfRule type="cellIs" dxfId="54" priority="115" operator="equal">
      <formula>"no AIR"</formula>
    </cfRule>
    <cfRule type="cellIs" dxfId="53" priority="116" operator="equal">
      <formula>"not found"</formula>
    </cfRule>
  </conditionalFormatting>
  <hyperlinks>
    <hyperlink ref="O146" r:id="rId1" display="P820514" xr:uid="{FD312617-D0F2-49C2-9C09-DD7768638326}"/>
  </hyperlinks>
  <pageMargins left="0.7" right="0.7" top="0.75" bottom="0.75" header="0.3" footer="0.3"/>
  <pageSetup paperSize="9" orientation="portrait" r:id="rId2"/>
  <headerFooter>
    <oddFooter>&amp;R_x000D_&amp;1#&amp;"Arial"&amp;7&amp;K000000 Company Secret</oddFooter>
  </headerFooter>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F003D-8C8B-456E-A294-862A9B8BB5CD}">
  <dimension ref="A1"/>
  <sheetViews>
    <sheetView workbookViewId="0"/>
  </sheetViews>
  <sheetFormatPr defaultRowHeight="1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A2B33-5C7F-4D05-9E21-B3AF3762FE73}">
  <sheetPr codeName="Sheet8" filterMode="1"/>
  <dimension ref="A1:Q111"/>
  <sheetViews>
    <sheetView zoomScale="83" zoomScaleNormal="80" workbookViewId="0">
      <selection activeCell="A69" sqref="A69"/>
    </sheetView>
  </sheetViews>
  <sheetFormatPr defaultRowHeight="15"/>
  <cols>
    <col min="1" max="1" width="37.140625" style="37" bestFit="1" customWidth="1"/>
    <col min="2" max="2" width="13.140625" bestFit="1" customWidth="1"/>
    <col min="3" max="3" width="14.85546875" bestFit="1" customWidth="1"/>
    <col min="4" max="4" width="11.5703125" bestFit="1" customWidth="1"/>
    <col min="5" max="5" width="8.28515625" customWidth="1"/>
    <col min="6" max="6" width="11.28515625" customWidth="1"/>
    <col min="7" max="7" width="15.7109375" customWidth="1"/>
    <col min="8" max="8" width="3.85546875" customWidth="1"/>
    <col min="9" max="9" width="4.42578125" customWidth="1"/>
    <col min="10" max="10" width="13.140625" style="37" hidden="1" customWidth="1"/>
    <col min="11" max="11" width="4.5703125" style="37" customWidth="1"/>
    <col min="12" max="12" width="3.7109375" style="37" customWidth="1"/>
    <col min="13" max="13" width="5.28515625" style="37" customWidth="1"/>
    <col min="14" max="14" width="4.42578125" style="37" customWidth="1"/>
    <col min="15" max="15" width="5.42578125" style="37" customWidth="1"/>
    <col min="16" max="16" width="4.7109375" style="37" customWidth="1"/>
    <col min="17" max="17" width="132.7109375" bestFit="1" customWidth="1"/>
    <col min="18" max="27" width="5" bestFit="1" customWidth="1"/>
    <col min="28" max="28" width="11.140625" bestFit="1" customWidth="1"/>
    <col min="29" max="29" width="26.140625" bestFit="1" customWidth="1"/>
    <col min="30" max="30" width="28.5703125" bestFit="1" customWidth="1"/>
    <col min="31" max="31" width="33.140625" bestFit="1" customWidth="1"/>
    <col min="32" max="32" width="21.140625" bestFit="1" customWidth="1"/>
    <col min="33" max="33" width="23.42578125" bestFit="1" customWidth="1"/>
    <col min="34" max="34" width="32.42578125" bestFit="1" customWidth="1"/>
    <col min="35" max="35" width="32.85546875" bestFit="1" customWidth="1"/>
    <col min="36" max="36" width="110" bestFit="1" customWidth="1"/>
    <col min="37" max="37" width="44.85546875" bestFit="1" customWidth="1"/>
    <col min="38" max="38" width="16.42578125" bestFit="1" customWidth="1"/>
    <col min="39" max="39" width="28.5703125" bestFit="1" customWidth="1"/>
    <col min="40" max="40" width="69.42578125" bestFit="1" customWidth="1"/>
    <col min="41" max="41" width="9.5703125" bestFit="1" customWidth="1"/>
    <col min="42" max="42" width="45.42578125" bestFit="1" customWidth="1"/>
    <col min="43" max="43" width="40" bestFit="1" customWidth="1"/>
    <col min="44" max="44" width="31.5703125" bestFit="1" customWidth="1"/>
    <col min="45" max="45" width="17.42578125" bestFit="1" customWidth="1"/>
    <col min="46" max="46" width="28.85546875" bestFit="1" customWidth="1"/>
    <col min="47" max="47" width="24" bestFit="1" customWidth="1"/>
    <col min="48" max="48" width="50.5703125" bestFit="1" customWidth="1"/>
    <col min="49" max="49" width="16.140625" bestFit="1" customWidth="1"/>
    <col min="50" max="50" width="17.140625" bestFit="1" customWidth="1"/>
    <col min="51" max="51" width="28.140625" bestFit="1" customWidth="1"/>
    <col min="52" max="52" width="31.140625" bestFit="1" customWidth="1"/>
    <col min="53" max="53" width="10.85546875" bestFit="1" customWidth="1"/>
    <col min="54" max="54" width="12.42578125" bestFit="1" customWidth="1"/>
    <col min="55" max="55" width="31.5703125" bestFit="1" customWidth="1"/>
    <col min="56" max="56" width="50.5703125" bestFit="1" customWidth="1"/>
    <col min="57" max="57" width="13.140625" bestFit="1" customWidth="1"/>
    <col min="58" max="58" width="14.42578125" bestFit="1" customWidth="1"/>
    <col min="59" max="59" width="13.42578125" bestFit="1" customWidth="1"/>
    <col min="60" max="60" width="31.85546875" bestFit="1" customWidth="1"/>
    <col min="61" max="61" width="17.140625" bestFit="1" customWidth="1"/>
    <col min="62" max="62" width="13.42578125" bestFit="1" customWidth="1"/>
    <col min="63" max="63" width="41.85546875" bestFit="1" customWidth="1"/>
    <col min="64" max="64" width="13.85546875" bestFit="1" customWidth="1"/>
    <col min="65" max="65" width="37.85546875" bestFit="1" customWidth="1"/>
    <col min="66" max="66" width="17.42578125" bestFit="1" customWidth="1"/>
    <col min="67" max="67" width="37" bestFit="1" customWidth="1"/>
    <col min="68" max="68" width="45.42578125" bestFit="1" customWidth="1"/>
    <col min="69" max="69" width="28.140625" bestFit="1" customWidth="1"/>
    <col min="70" max="70" width="31.140625" bestFit="1" customWidth="1"/>
    <col min="71" max="71" width="13.5703125" bestFit="1" customWidth="1"/>
    <col min="72" max="72" width="28.5703125" bestFit="1" customWidth="1"/>
    <col min="73" max="73" width="13.140625" bestFit="1" customWidth="1"/>
    <col min="74" max="74" width="61.85546875" bestFit="1" customWidth="1"/>
    <col min="75" max="75" width="17.42578125" bestFit="1" customWidth="1"/>
    <col min="76" max="76" width="28.85546875" bestFit="1" customWidth="1"/>
    <col min="77" max="77" width="24" bestFit="1" customWidth="1"/>
    <col min="78" max="78" width="13.42578125" bestFit="1" customWidth="1"/>
    <col min="79" max="79" width="32.85546875" bestFit="1" customWidth="1"/>
    <col min="80" max="80" width="13.85546875" bestFit="1" customWidth="1"/>
    <col min="81" max="81" width="10.85546875" bestFit="1" customWidth="1"/>
  </cols>
  <sheetData>
    <row r="1" spans="1:17" ht="52.5">
      <c r="A1" s="356" t="s">
        <v>751</v>
      </c>
      <c r="B1" s="66"/>
      <c r="C1" s="322" t="s">
        <v>752</v>
      </c>
      <c r="D1" s="329" t="s">
        <v>753</v>
      </c>
      <c r="E1" s="329"/>
      <c r="F1" s="329"/>
      <c r="G1" s="329" t="s">
        <v>754</v>
      </c>
      <c r="H1" s="329"/>
    </row>
    <row r="2" spans="1:17" ht="26.25">
      <c r="A2" s="355" t="s">
        <v>755</v>
      </c>
      <c r="B2" s="66"/>
      <c r="C2" s="364">
        <f ca="1">NOW()</f>
        <v>45909.460295138888</v>
      </c>
      <c r="D2" s="349">
        <f ca="1">VALUE(YEAR(C2)&amp;TEXT(_xlfn.ISOWEEKNUM(C2),"00"))</f>
        <v>202537</v>
      </c>
      <c r="E2" s="349"/>
      <c r="F2" s="349"/>
      <c r="G2" s="363">
        <f ca="1">TODAY()-91</f>
        <v>45818</v>
      </c>
      <c r="H2" s="351"/>
      <c r="I2" s="350"/>
      <c r="J2" s="96" t="s">
        <v>756</v>
      </c>
      <c r="K2" s="96"/>
      <c r="L2" s="96"/>
      <c r="M2" s="96"/>
      <c r="N2" s="96"/>
      <c r="O2" s="96"/>
      <c r="P2" s="96"/>
      <c r="Q2" s="350" t="s">
        <v>757</v>
      </c>
    </row>
    <row r="3" spans="1:17">
      <c r="A3" s="218"/>
      <c r="B3" s="66"/>
      <c r="C3" s="323"/>
      <c r="D3" s="350">
        <f ca="1">now_summary-1</f>
        <v>202536</v>
      </c>
      <c r="G3" s="218">
        <v>202523</v>
      </c>
      <c r="H3" s="351"/>
      <c r="I3" s="350"/>
      <c r="J3" s="96">
        <f ca="1">D3-G3+1</f>
        <v>14</v>
      </c>
      <c r="K3" s="96"/>
      <c r="L3" s="96"/>
      <c r="M3" s="96"/>
      <c r="N3" s="96"/>
      <c r="O3" s="96"/>
      <c r="P3" s="96"/>
      <c r="Q3" s="357">
        <f ca="1">D3-G3+1</f>
        <v>14</v>
      </c>
    </row>
    <row r="4" spans="1:17">
      <c r="A4" s="218"/>
      <c r="B4" s="66"/>
      <c r="C4" s="323"/>
      <c r="D4" s="350"/>
      <c r="G4" s="218"/>
      <c r="H4" s="351"/>
      <c r="I4" s="350"/>
      <c r="J4" s="96"/>
      <c r="K4" s="96"/>
      <c r="L4" s="96"/>
      <c r="M4" s="96"/>
      <c r="N4" s="96"/>
      <c r="O4" s="96"/>
      <c r="P4" s="96" t="s">
        <v>758</v>
      </c>
      <c r="Q4" s="354">
        <f ca="1">SUM(H13:H71)</f>
        <v>21</v>
      </c>
    </row>
    <row r="5" spans="1:17" ht="38.25">
      <c r="A5" s="218"/>
      <c r="B5" s="66"/>
      <c r="C5" s="323"/>
      <c r="D5" s="350"/>
      <c r="G5" s="218"/>
      <c r="H5" s="352" t="s">
        <v>759</v>
      </c>
      <c r="I5" s="352" t="s">
        <v>760</v>
      </c>
      <c r="J5" s="96"/>
      <c r="K5" s="352" t="s">
        <v>4</v>
      </c>
      <c r="L5" s="352" t="s">
        <v>7</v>
      </c>
      <c r="M5" s="352" t="s">
        <v>12</v>
      </c>
      <c r="N5" s="352" t="s">
        <v>4</v>
      </c>
      <c r="O5" s="352" t="s">
        <v>7</v>
      </c>
      <c r="P5" s="352" t="s">
        <v>12</v>
      </c>
      <c r="Q5" s="350"/>
    </row>
    <row r="6" spans="1:17" ht="106.5" customHeight="1">
      <c r="A6" s="326" t="s">
        <v>208</v>
      </c>
      <c r="B6" s="327" t="s">
        <v>761</v>
      </c>
      <c r="C6" s="327" t="s">
        <v>762</v>
      </c>
      <c r="D6" s="327" t="s">
        <v>763</v>
      </c>
      <c r="E6" s="327" t="s">
        <v>764</v>
      </c>
      <c r="F6" s="327" t="s">
        <v>765</v>
      </c>
      <c r="G6" s="353"/>
      <c r="H6" s="362" t="s">
        <v>766</v>
      </c>
      <c r="I6" s="362" t="s">
        <v>767</v>
      </c>
      <c r="J6" s="331" t="s">
        <v>768</v>
      </c>
      <c r="K6" s="362" t="s">
        <v>766</v>
      </c>
      <c r="L6" s="362" t="s">
        <v>766</v>
      </c>
      <c r="M6" s="362" t="s">
        <v>766</v>
      </c>
      <c r="N6" s="362" t="s">
        <v>767</v>
      </c>
      <c r="O6" s="362" t="s">
        <v>767</v>
      </c>
      <c r="P6" s="362" t="s">
        <v>767</v>
      </c>
      <c r="Q6" s="328" t="s">
        <v>204</v>
      </c>
    </row>
    <row r="7" spans="1:17" hidden="1">
      <c r="A7" s="332" t="str" cm="1">
        <f t="array" ref="A7:A80">_xlfn.TRIMRANGE(_xlfn.UNIQUE(Errorlog_table[AIR]))</f>
        <v>P847221</v>
      </c>
      <c r="B7" s="325" t="str">
        <f>_xlfn.XLOOKUP(A7,Errorlog_table[AIR],Errorlog_table[Root_Error],"NA",0)</f>
        <v>RQ-8120</v>
      </c>
      <c r="C7" s="330">
        <f>COUNTIFS(Errorlog_table[AIR],Summary!A7,Errorlog_table[P_Hits],"Y")</f>
        <v>2</v>
      </c>
      <c r="D7" s="330">
        <f>COUNTIFS(Errorlog_table[AIR],Summary!A7,Errorlog_table[U_Hits],"Y")</f>
        <v>2</v>
      </c>
      <c r="E7" s="330"/>
      <c r="F7" s="330">
        <f>_xlfn.MAXIFS(Errorlog_table[Year_Week_Number],Errorlog_table[AIR],A7)</f>
        <v>202452</v>
      </c>
      <c r="G7" s="330"/>
      <c r="H7" s="330">
        <f ca="1">COUNTIFS(Errorlog_table[AIR],Summary!A7,Errorlog_table[Year_Week_Number],"&gt;="&amp;$G$3,Errorlog_table[Year_Week_Number],"&lt;="&amp;$D$3)</f>
        <v>0</v>
      </c>
      <c r="I7" s="330">
        <f ca="1">COUNTIFS(Errorlog_table[AIR],Summary!A7,Errorlog_table[P_Hits],"Y",Errorlog_table[Year_Week_Number],"&gt;="&amp;$G$3,Errorlog_table[Year_Week_Number],"&lt;="&amp;$D$3)</f>
        <v>0</v>
      </c>
      <c r="J7" s="330">
        <f t="shared" ref="J7:J15" ca="1" si="0">G7*1.5+I7</f>
        <v>0</v>
      </c>
      <c r="K7" s="330">
        <f ca="1">COUNTIFS(Errorlog_table[AIR],Summary!$A7,Errorlog_table[Year_Week_Number],"&gt;="&amp;$G$3,Errorlog_table[Year_Week_Number],"&lt;="&amp;$D$3,Errorlog_table[System],K$5)</f>
        <v>0</v>
      </c>
      <c r="L7" s="330">
        <f ca="1">COUNTIFS(Errorlog_table[AIR],Summary!$A7,Errorlog_table[Year_Week_Number],"&gt;="&amp;$G$3,Errorlog_table[Year_Week_Number],"&lt;="&amp;$D$3,Errorlog_table[System],L$5)</f>
        <v>0</v>
      </c>
      <c r="M7" s="330">
        <f ca="1">COUNTIFS(Errorlog_table[AIR],Summary!$A7,Errorlog_table[Year_Week_Number],"&gt;="&amp;$G$3,Errorlog_table[Year_Week_Number],"&lt;="&amp;$D$3,Errorlog_table[System],M$5)</f>
        <v>0</v>
      </c>
      <c r="N7" s="330">
        <f ca="1">COUNTIFS(Errorlog_table[AIR],Summary!$A7,Errorlog_table[Year_Week_Number],"&gt;="&amp;$G$3,Errorlog_table[Year_Week_Number],"&lt;="&amp;$D$3,Errorlog_table[System],K$5,Errorlog_table[P_Hits],"Y")</f>
        <v>0</v>
      </c>
      <c r="O7" s="330">
        <f ca="1">COUNTIFS(Errorlog_table[AIR],Summary!$A7,Errorlog_table[Year_Week_Number],"&gt;="&amp;$G$3,Errorlog_table[Year_Week_Number],"&lt;="&amp;$D$3,Errorlog_table[System],L$5,Errorlog_table[P_Hits],"Y")</f>
        <v>0</v>
      </c>
      <c r="P7" s="330">
        <f ca="1">COUNTIFS(Errorlog_table[AIR],Summary!$A7,Errorlog_table[Year_Week_Number],"&gt;="&amp;$G$3,Errorlog_table[Year_Week_Number],"&lt;="&amp;$D$3,Errorlog_table[System],M$5,Errorlog_table[P_Hits],"Y")</f>
        <v>0</v>
      </c>
      <c r="Q7" s="324" t="str">
        <f>_xlfn.XLOOKUP(A7,Errorlog_table[AIR],Errorlog_table[Air_issue_description],"not found")</f>
        <v>[Intel][RS] Online PF Residual out of limits due to SS dynamics link drift</v>
      </c>
    </row>
    <row r="8" spans="1:17" hidden="1">
      <c r="A8" s="333" t="str">
        <v>P851510</v>
      </c>
      <c r="B8" s="325" t="str">
        <f>_xlfn.XLOOKUP(A8,Errorlog_table[AIR],Errorlog_table[Root_Error],"NA",0)</f>
        <v>MEP-0106</v>
      </c>
      <c r="C8" s="330">
        <f>COUNTIFS(Errorlog_table[AIR],Summary!A8,Errorlog_table[P_Hits],"Y")</f>
        <v>4</v>
      </c>
      <c r="D8" s="330">
        <f>COUNTIFS(Errorlog_table[AIR],Summary!A8,Errorlog_table[U_Hits],"Y")</f>
        <v>6</v>
      </c>
      <c r="E8" s="330"/>
      <c r="F8" s="330">
        <f>_xlfn.MAXIFS(Errorlog_table[Year_Week_Number],Errorlog_table[AIR],A8)</f>
        <v>202501</v>
      </c>
      <c r="G8" s="330"/>
      <c r="H8" s="330">
        <f ca="1">COUNTIFS(Errorlog_table[AIR],Summary!A8,Errorlog_table[Year_Week_Number],"&gt;="&amp;$G$3,Errorlog_table[Year_Week_Number],"&lt;="&amp;$D$3)</f>
        <v>0</v>
      </c>
      <c r="I8" s="330">
        <f ca="1">COUNTIFS(Errorlog_table[AIR],Summary!A8,Errorlog_table[P_Hits],"Y",Errorlog_table[Year_Week_Number],"&gt;="&amp;$G$3,Errorlog_table[Year_Week_Number],"&lt;="&amp;$D$3)</f>
        <v>0</v>
      </c>
      <c r="J8" s="330">
        <f t="shared" ca="1" si="0"/>
        <v>0</v>
      </c>
      <c r="K8" s="330">
        <f ca="1">COUNTIFS(Errorlog_table[AIR],Summary!$A8,Errorlog_table[Year_Week_Number],"&gt;="&amp;$G$3,Errorlog_table[Year_Week_Number],"&lt;="&amp;$D$3,Errorlog_table[System],K$5)</f>
        <v>0</v>
      </c>
      <c r="L8" s="330">
        <f ca="1">COUNTIFS(Errorlog_table[AIR],Summary!$A8,Errorlog_table[Year_Week_Number],"&gt;="&amp;$G$3,Errorlog_table[Year_Week_Number],"&lt;="&amp;$D$3,Errorlog_table[System],L$5)</f>
        <v>0</v>
      </c>
      <c r="M8" s="330">
        <f ca="1">COUNTIFS(Errorlog_table[AIR],Summary!$A8,Errorlog_table[Year_Week_Number],"&gt;="&amp;$G$3,Errorlog_table[Year_Week_Number],"&lt;="&amp;$D$3,Errorlog_table[System],M$5)</f>
        <v>0</v>
      </c>
      <c r="N8" s="330">
        <f ca="1">COUNTIFS(Errorlog_table[AIR],Summary!$A8,Errorlog_table[Year_Week_Number],"&gt;="&amp;$G$3,Errorlog_table[Year_Week_Number],"&lt;="&amp;$D$3,Errorlog_table[System],K$5,Errorlog_table[P_Hits],"Y")</f>
        <v>0</v>
      </c>
      <c r="O8" s="330">
        <f ca="1">COUNTIFS(Errorlog_table[AIR],Summary!$A8,Errorlog_table[Year_Week_Number],"&gt;="&amp;$G$3,Errorlog_table[Year_Week_Number],"&lt;="&amp;$D$3,Errorlog_table[System],L$5,Errorlog_table[P_Hits],"Y")</f>
        <v>0</v>
      </c>
      <c r="P8" s="330">
        <f ca="1">COUNTIFS(Errorlog_table[AIR],Summary!$A8,Errorlog_table[Year_Week_Number],"&gt;="&amp;$G$3,Errorlog_table[Year_Week_Number],"&lt;="&amp;$D$3,Errorlog_table[System],M$5,Errorlog_table[P_Hits],"Y")</f>
        <v>0</v>
      </c>
      <c r="Q8" s="324" t="str">
        <f>_xlfn.XLOOKUP(A8,Errorlog_table[AIR],Errorlog_table[Air_issue_description],"not found")</f>
        <v xml:space="preserve"> P851510 - [EXE 5000] [CR51] Request to investigate and add failure mode to DDF: Incorrect or no flow</v>
      </c>
    </row>
    <row r="9" spans="1:17" hidden="1">
      <c r="A9" s="333">
        <v>0</v>
      </c>
      <c r="B9" s="325" t="str">
        <f>_xlfn.XLOOKUP(A9,Errorlog_table[AIR],Errorlog_table[Root_Error],"NA",0)</f>
        <v>NA</v>
      </c>
      <c r="C9" s="330">
        <f>COUNTIFS(Errorlog_table[AIR],Summary!A9,Errorlog_table[P_Hits],"Y")</f>
        <v>0</v>
      </c>
      <c r="D9" s="330">
        <f>COUNTIFS(Errorlog_table[AIR],Summary!A9,Errorlog_table[U_Hits],"Y")</f>
        <v>0</v>
      </c>
      <c r="E9" s="330"/>
      <c r="F9" s="330">
        <f>_xlfn.MAXIFS(Errorlog_table[Year_Week_Number],Errorlog_table[AIR],A9)</f>
        <v>0</v>
      </c>
      <c r="G9" s="330"/>
      <c r="H9" s="330">
        <f ca="1">COUNTIFS(Errorlog_table[AIR],Summary!A9,Errorlog_table[Year_Week_Number],"&gt;="&amp;$G$3,Errorlog_table[Year_Week_Number],"&lt;="&amp;$D$3)</f>
        <v>0</v>
      </c>
      <c r="I9" s="330">
        <f ca="1">COUNTIFS(Errorlog_table[AIR],Summary!A9,Errorlog_table[P_Hits],"Y",Errorlog_table[Year_Week_Number],"&gt;="&amp;$G$3,Errorlog_table[Year_Week_Number],"&lt;="&amp;$D$3)</f>
        <v>0</v>
      </c>
      <c r="J9" s="330">
        <f t="shared" ca="1" si="0"/>
        <v>0</v>
      </c>
      <c r="K9" s="330">
        <f ca="1">COUNTIFS(Errorlog_table[AIR],Summary!$A9,Errorlog_table[Year_Week_Number],"&gt;="&amp;$G$3,Errorlog_table[Year_Week_Number],"&lt;="&amp;$D$3,Errorlog_table[System],K$5)</f>
        <v>0</v>
      </c>
      <c r="L9" s="330">
        <f ca="1">COUNTIFS(Errorlog_table[AIR],Summary!$A9,Errorlog_table[Year_Week_Number],"&gt;="&amp;$G$3,Errorlog_table[Year_Week_Number],"&lt;="&amp;$D$3,Errorlog_table[System],L$5)</f>
        <v>0</v>
      </c>
      <c r="M9" s="330">
        <f ca="1">COUNTIFS(Errorlog_table[AIR],Summary!$A9,Errorlog_table[Year_Week_Number],"&gt;="&amp;$G$3,Errorlog_table[Year_Week_Number],"&lt;="&amp;$D$3,Errorlog_table[System],M$5)</f>
        <v>0</v>
      </c>
      <c r="N9" s="330">
        <f ca="1">COUNTIFS(Errorlog_table[AIR],Summary!$A9,Errorlog_table[Year_Week_Number],"&gt;="&amp;$G$3,Errorlog_table[Year_Week_Number],"&lt;="&amp;$D$3,Errorlog_table[System],K$5,Errorlog_table[P_Hits],"Y")</f>
        <v>0</v>
      </c>
      <c r="O9" s="330">
        <f ca="1">COUNTIFS(Errorlog_table[AIR],Summary!$A9,Errorlog_table[Year_Week_Number],"&gt;="&amp;$G$3,Errorlog_table[Year_Week_Number],"&lt;="&amp;$D$3,Errorlog_table[System],L$5,Errorlog_table[P_Hits],"Y")</f>
        <v>0</v>
      </c>
      <c r="P9" s="330">
        <f ca="1">COUNTIFS(Errorlog_table[AIR],Summary!$A9,Errorlog_table[Year_Week_Number],"&gt;="&amp;$G$3,Errorlog_table[Year_Week_Number],"&lt;="&amp;$D$3,Errorlog_table[System],M$5,Errorlog_table[P_Hits],"Y")</f>
        <v>0</v>
      </c>
      <c r="Q9" s="324" t="str">
        <f>_xlfn.XLOOKUP(A9,Errorlog_table[AIR],Errorlog_table[Air_issue_description],"not found")</f>
        <v>not found</v>
      </c>
    </row>
    <row r="10" spans="1:17" hidden="1">
      <c r="A10" s="333" t="str">
        <v>P820381</v>
      </c>
      <c r="B10" s="325" t="str">
        <f>_xlfn.XLOOKUP(A10,Errorlog_table[AIR],Errorlog_table[Root_Error],"NA",0)</f>
        <v>DW-56C6</v>
      </c>
      <c r="C10" s="330">
        <f>COUNTIFS(Errorlog_table[AIR],Summary!A10,Errorlog_table[P_Hits],"Y")</f>
        <v>3</v>
      </c>
      <c r="D10" s="330">
        <f>COUNTIFS(Errorlog_table[AIR],Summary!A10,Errorlog_table[U_Hits],"Y")</f>
        <v>4</v>
      </c>
      <c r="E10" s="330"/>
      <c r="F10" s="330">
        <f>_xlfn.MAXIFS(Errorlog_table[Year_Week_Number],Errorlog_table[AIR],A10)</f>
        <v>202509</v>
      </c>
      <c r="G10" s="330"/>
      <c r="H10" s="330">
        <f ca="1">COUNTIFS(Errorlog_table[AIR],Summary!A10,Errorlog_table[Year_Week_Number],"&gt;="&amp;$G$3,Errorlog_table[Year_Week_Number],"&lt;="&amp;$D$3)</f>
        <v>0</v>
      </c>
      <c r="I10" s="330">
        <f ca="1">COUNTIFS(Errorlog_table[AIR],Summary!A10,Errorlog_table[P_Hits],"Y",Errorlog_table[Year_Week_Number],"&gt;="&amp;$G$3,Errorlog_table[Year_Week_Number],"&lt;="&amp;$D$3)</f>
        <v>0</v>
      </c>
      <c r="J10" s="330">
        <f t="shared" ca="1" si="0"/>
        <v>0</v>
      </c>
      <c r="K10" s="330">
        <f ca="1">COUNTIFS(Errorlog_table[AIR],Summary!$A10,Errorlog_table[Year_Week_Number],"&gt;="&amp;$G$3,Errorlog_table[Year_Week_Number],"&lt;="&amp;$D$3,Errorlog_table[System],K$5)</f>
        <v>0</v>
      </c>
      <c r="L10" s="330">
        <f ca="1">COUNTIFS(Errorlog_table[AIR],Summary!$A10,Errorlog_table[Year_Week_Number],"&gt;="&amp;$G$3,Errorlog_table[Year_Week_Number],"&lt;="&amp;$D$3,Errorlog_table[System],L$5)</f>
        <v>0</v>
      </c>
      <c r="M10" s="330">
        <f ca="1">COUNTIFS(Errorlog_table[AIR],Summary!$A10,Errorlog_table[Year_Week_Number],"&gt;="&amp;$G$3,Errorlog_table[Year_Week_Number],"&lt;="&amp;$D$3,Errorlog_table[System],M$5)</f>
        <v>0</v>
      </c>
      <c r="N10" s="330">
        <f ca="1">COUNTIFS(Errorlog_table[AIR],Summary!$A10,Errorlog_table[Year_Week_Number],"&gt;="&amp;$G$3,Errorlog_table[Year_Week_Number],"&lt;="&amp;$D$3,Errorlog_table[System],K$5,Errorlog_table[P_Hits],"Y")</f>
        <v>0</v>
      </c>
      <c r="O10" s="330">
        <f ca="1">COUNTIFS(Errorlog_table[AIR],Summary!$A10,Errorlog_table[Year_Week_Number],"&gt;="&amp;$G$3,Errorlog_table[Year_Week_Number],"&lt;="&amp;$D$3,Errorlog_table[System],L$5,Errorlog_table[P_Hits],"Y")</f>
        <v>0</v>
      </c>
      <c r="P10" s="330">
        <f ca="1">COUNTIFS(Errorlog_table[AIR],Summary!$A10,Errorlog_table[Year_Week_Number],"&gt;="&amp;$G$3,Errorlog_table[Year_Week_Number],"&lt;="&amp;$D$3,Errorlog_table[System],M$5,Errorlog_table[P_Hits],"Y")</f>
        <v>0</v>
      </c>
      <c r="Q10" s="324" t="str">
        <f>_xlfn.XLOOKUP(A10,Errorlog_table[AIR],Errorlog_table[Air_issue_description],"not found")</f>
        <v>P820381 - |Proto2| |VHV| |mEX04| Lot Abort Due to DW-56C6 Real Time Sensor Link communication with D</v>
      </c>
    </row>
    <row r="11" spans="1:17" hidden="1">
      <c r="A11" s="333" t="str">
        <v>P814232</v>
      </c>
      <c r="B11" s="325" t="str">
        <f>_xlfn.XLOOKUP(A11,Errorlog_table[AIR],Errorlog_table[Root_Error],"NA",0)</f>
        <v>ZH-221D</v>
      </c>
      <c r="C11" s="330">
        <f>COUNTIFS(Errorlog_table[AIR],Summary!A11,Errorlog_table[P_Hits],"Y")</f>
        <v>2</v>
      </c>
      <c r="D11" s="330">
        <f>COUNTIFS(Errorlog_table[AIR],Summary!A11,Errorlog_table[U_Hits],"Y")</f>
        <v>3</v>
      </c>
      <c r="E11" s="330"/>
      <c r="F11" s="330">
        <f>_xlfn.MAXIFS(Errorlog_table[Year_Week_Number],Errorlog_table[AIR],A11)</f>
        <v>202452</v>
      </c>
      <c r="G11" s="330"/>
      <c r="H11" s="330">
        <f ca="1">COUNTIFS(Errorlog_table[AIR],Summary!A11,Errorlog_table[Year_Week_Number],"&gt;="&amp;$G$3,Errorlog_table[Year_Week_Number],"&lt;="&amp;$D$3)</f>
        <v>0</v>
      </c>
      <c r="I11" s="330">
        <f ca="1">COUNTIFS(Errorlog_table[AIR],Summary!A11,Errorlog_table[P_Hits],"Y",Errorlog_table[Year_Week_Number],"&gt;="&amp;$G$3,Errorlog_table[Year_Week_Number],"&lt;="&amp;$D$3)</f>
        <v>0</v>
      </c>
      <c r="J11" s="330">
        <f t="shared" ca="1" si="0"/>
        <v>0</v>
      </c>
      <c r="K11" s="330">
        <f ca="1">COUNTIFS(Errorlog_table[AIR],Summary!$A11,Errorlog_table[Year_Week_Number],"&gt;="&amp;$G$3,Errorlog_table[Year_Week_Number],"&lt;="&amp;$D$3,Errorlog_table[System],K$5)</f>
        <v>0</v>
      </c>
      <c r="L11" s="330">
        <f ca="1">COUNTIFS(Errorlog_table[AIR],Summary!$A11,Errorlog_table[Year_Week_Number],"&gt;="&amp;$G$3,Errorlog_table[Year_Week_Number],"&lt;="&amp;$D$3,Errorlog_table[System],L$5)</f>
        <v>0</v>
      </c>
      <c r="M11" s="330">
        <f ca="1">COUNTIFS(Errorlog_table[AIR],Summary!$A11,Errorlog_table[Year_Week_Number],"&gt;="&amp;$G$3,Errorlog_table[Year_Week_Number],"&lt;="&amp;$D$3,Errorlog_table[System],M$5)</f>
        <v>0</v>
      </c>
      <c r="N11" s="330">
        <f ca="1">COUNTIFS(Errorlog_table[AIR],Summary!$A11,Errorlog_table[Year_Week_Number],"&gt;="&amp;$G$3,Errorlog_table[Year_Week_Number],"&lt;="&amp;$D$3,Errorlog_table[System],K$5,Errorlog_table[P_Hits],"Y")</f>
        <v>0</v>
      </c>
      <c r="O11" s="330">
        <f ca="1">COUNTIFS(Errorlog_table[AIR],Summary!$A11,Errorlog_table[Year_Week_Number],"&gt;="&amp;$G$3,Errorlog_table[Year_Week_Number],"&lt;="&amp;$D$3,Errorlog_table[System],L$5,Errorlog_table[P_Hits],"Y")</f>
        <v>0</v>
      </c>
      <c r="P11" s="330">
        <f ca="1">COUNTIFS(Errorlog_table[AIR],Summary!$A11,Errorlog_table[Year_Week_Number],"&gt;="&amp;$G$3,Errorlog_table[Year_Week_Number],"&lt;="&amp;$D$3,Errorlog_table[System],M$5,Errorlog_table[P_Hits],"Y")</f>
        <v>0</v>
      </c>
      <c r="Q11" s="324" t="str">
        <f>_xlfn.XLOOKUP(A11,Errorlog_table[AIR],Errorlog_table[Air_issue_description],"not found")</f>
        <v>[EXE][NXE 3800] [NXE3600] -ILIAS PARIS sensor  failing on Destination Violation error</v>
      </c>
    </row>
    <row r="12" spans="1:17" hidden="1">
      <c r="A12" s="333" t="str">
        <v>P757279</v>
      </c>
      <c r="B12" s="325" t="str">
        <f>_xlfn.XLOOKUP(A12,Errorlog_table[AIR],Errorlog_table[Root_Error],"NA",0)</f>
        <v>RQ-9002</v>
      </c>
      <c r="C12" s="330">
        <f>COUNTIFS(Errorlog_table[AIR],Summary!A12,Errorlog_table[P_Hits],"Y")</f>
        <v>1</v>
      </c>
      <c r="D12" s="330">
        <f>COUNTIFS(Errorlog_table[AIR],Summary!A12,Errorlog_table[U_Hits],"Y")</f>
        <v>1</v>
      </c>
      <c r="E12" s="330"/>
      <c r="F12" s="330">
        <f>_xlfn.MAXIFS(Errorlog_table[Year_Week_Number],Errorlog_table[AIR],A12)</f>
        <v>202501</v>
      </c>
      <c r="G12" s="330"/>
      <c r="H12" s="330">
        <f ca="1">COUNTIFS(Errorlog_table[AIR],Summary!A12,Errorlog_table[Year_Week_Number],"&gt;="&amp;$G$3,Errorlog_table[Year_Week_Number],"&lt;="&amp;$D$3)</f>
        <v>0</v>
      </c>
      <c r="I12" s="330">
        <f ca="1">COUNTIFS(Errorlog_table[AIR],Summary!A12,Errorlog_table[P_Hits],"Y",Errorlog_table[Year_Week_Number],"&gt;="&amp;$G$3,Errorlog_table[Year_Week_Number],"&lt;="&amp;$D$3)</f>
        <v>0</v>
      </c>
      <c r="J12" s="330">
        <f t="shared" ca="1" si="0"/>
        <v>0</v>
      </c>
      <c r="K12" s="330">
        <f ca="1">COUNTIFS(Errorlog_table[AIR],Summary!$A12,Errorlog_table[Year_Week_Number],"&gt;="&amp;$G$3,Errorlog_table[Year_Week_Number],"&lt;="&amp;$D$3,Errorlog_table[System],K$5)</f>
        <v>0</v>
      </c>
      <c r="L12" s="330">
        <f ca="1">COUNTIFS(Errorlog_table[AIR],Summary!$A12,Errorlog_table[Year_Week_Number],"&gt;="&amp;$G$3,Errorlog_table[Year_Week_Number],"&lt;="&amp;$D$3,Errorlog_table[System],L$5)</f>
        <v>0</v>
      </c>
      <c r="M12" s="330">
        <f ca="1">COUNTIFS(Errorlog_table[AIR],Summary!$A12,Errorlog_table[Year_Week_Number],"&gt;="&amp;$G$3,Errorlog_table[Year_Week_Number],"&lt;="&amp;$D$3,Errorlog_table[System],M$5)</f>
        <v>0</v>
      </c>
      <c r="N12" s="330">
        <f ca="1">COUNTIFS(Errorlog_table[AIR],Summary!$A12,Errorlog_table[Year_Week_Number],"&gt;="&amp;$G$3,Errorlog_table[Year_Week_Number],"&lt;="&amp;$D$3,Errorlog_table[System],K$5,Errorlog_table[P_Hits],"Y")</f>
        <v>0</v>
      </c>
      <c r="O12" s="330">
        <f ca="1">COUNTIFS(Errorlog_table[AIR],Summary!$A12,Errorlog_table[Year_Week_Number],"&gt;="&amp;$G$3,Errorlog_table[Year_Week_Number],"&lt;="&amp;$D$3,Errorlog_table[System],L$5,Errorlog_table[P_Hits],"Y")</f>
        <v>0</v>
      </c>
      <c r="P12" s="330">
        <f ca="1">COUNTIFS(Errorlog_table[AIR],Summary!$A12,Errorlog_table[Year_Week_Number],"&gt;="&amp;$G$3,Errorlog_table[Year_Week_Number],"&lt;="&amp;$D$3,Errorlog_table[System],M$5,Errorlog_table[P_Hits],"Y")</f>
        <v>0</v>
      </c>
      <c r="Q12" s="324" t="str">
        <f>_xlfn.XLOOKUP(A12,Errorlog_table[AIR],Errorlog_table[Air_issue_description],"not found")</f>
        <v>P757279 - [EXE Proto1] Lot failed with error PG-7404 - CTRL_Z_FORCE_OVER_LI</v>
      </c>
    </row>
    <row r="13" spans="1:17">
      <c r="A13" s="333" t="str">
        <v>P853275</v>
      </c>
      <c r="B13" s="325" t="str">
        <f>_xlfn.XLOOKUP(A13,Errorlog_table[AIR],Errorlog_table[Root_Error],"NA",0)</f>
        <v>ZH-221D</v>
      </c>
      <c r="C13" s="330">
        <f>COUNTIFS(Errorlog_table[AIR],Summary!A13,Errorlog_table[P_Hits],"Y")</f>
        <v>19</v>
      </c>
      <c r="D13" s="330">
        <f>COUNTIFS(Errorlog_table[AIR],Summary!A13,Errorlog_table[U_Hits],"Y")</f>
        <v>25</v>
      </c>
      <c r="E13" s="330"/>
      <c r="F13" s="330">
        <f>_xlfn.MAXIFS(Errorlog_table[Year_Week_Number],Errorlog_table[AIR],A13)</f>
        <v>202533</v>
      </c>
      <c r="G13" s="330"/>
      <c r="H13" s="330">
        <f ca="1">COUNTIFS(Errorlog_table[AIR],Summary!A13,Errorlog_table[Year_Week_Number],"&gt;="&amp;$G$3,Errorlog_table[Year_Week_Number],"&lt;="&amp;$D$3)</f>
        <v>5</v>
      </c>
      <c r="I13" s="330">
        <f ca="1">COUNTIFS(Errorlog_table[AIR],Summary!A13,Errorlog_table[P_Hits],"Y",Errorlog_table[Year_Week_Number],"&gt;="&amp;$G$3,Errorlog_table[Year_Week_Number],"&lt;="&amp;$D$3)</f>
        <v>4</v>
      </c>
      <c r="J13" s="330">
        <f t="shared" ca="1" si="0"/>
        <v>4</v>
      </c>
      <c r="K13" s="330">
        <f ca="1">COUNTIFS(Errorlog_table[AIR],Summary!$A13,Errorlog_table[Year_Week_Number],"&gt;="&amp;$G$3,Errorlog_table[Year_Week_Number],"&lt;="&amp;$D$3,Errorlog_table[System],K$5)</f>
        <v>0</v>
      </c>
      <c r="L13" s="330">
        <f ca="1">COUNTIFS(Errorlog_table[AIR],Summary!$A13,Errorlog_table[Year_Week_Number],"&gt;="&amp;$G$3,Errorlog_table[Year_Week_Number],"&lt;="&amp;$D$3,Errorlog_table[System],L$5)</f>
        <v>5</v>
      </c>
      <c r="M13" s="330">
        <f ca="1">COUNTIFS(Errorlog_table[AIR],Summary!$A13,Errorlog_table[Year_Week_Number],"&gt;="&amp;$G$3,Errorlog_table[Year_Week_Number],"&lt;="&amp;$D$3,Errorlog_table[System],M$5)</f>
        <v>0</v>
      </c>
      <c r="N13" s="330">
        <f ca="1">COUNTIFS(Errorlog_table[AIR],Summary!$A13,Errorlog_table[Year_Week_Number],"&gt;="&amp;$G$3,Errorlog_table[Year_Week_Number],"&lt;="&amp;$D$3,Errorlog_table[System],K$5,Errorlog_table[P_Hits],"Y")</f>
        <v>0</v>
      </c>
      <c r="O13" s="330">
        <f ca="1">COUNTIFS(Errorlog_table[AIR],Summary!$A13,Errorlog_table[Year_Week_Number],"&gt;="&amp;$G$3,Errorlog_table[Year_Week_Number],"&lt;="&amp;$D$3,Errorlog_table[System],L$5,Errorlog_table[P_Hits],"Y")</f>
        <v>4</v>
      </c>
      <c r="P13" s="330">
        <f ca="1">COUNTIFS(Errorlog_table[AIR],Summary!$A13,Errorlog_table[Year_Week_Number],"&gt;="&amp;$G$3,Errorlog_table[Year_Week_Number],"&lt;="&amp;$D$3,Errorlog_table[System],M$5,Errorlog_table[P_Hits],"Y")</f>
        <v>0</v>
      </c>
      <c r="Q13" s="324" t="str">
        <f>_xlfn.XLOOKUP(A13,Errorlog_table[AIR],Errorlog_table[Air_issue_description],"not found")</f>
        <v>P853275 - NXE:3800E and EXE:5000 Destination Violation Error ZH-221D</v>
      </c>
    </row>
    <row r="14" spans="1:17" hidden="1">
      <c r="A14" s="333" t="str">
        <v>Lot Failed to Start</v>
      </c>
      <c r="B14" s="325" t="str">
        <f>_xlfn.XLOOKUP(A14,Errorlog_table[AIR],Errorlog_table[Root_Error],"NA",0)</f>
        <v>WH-2626</v>
      </c>
      <c r="C14" s="330">
        <f>COUNTIFS(Errorlog_table[AIR],Summary!A14,Errorlog_table[P_Hits],"Y")</f>
        <v>0</v>
      </c>
      <c r="D14" s="330">
        <f>COUNTIFS(Errorlog_table[AIR],Summary!A14,Errorlog_table[U_Hits],"Y")</f>
        <v>1</v>
      </c>
      <c r="E14" s="330" t="str">
        <f ca="1">IF(COUNTIFS(Errorlog_table[AIR],Summary!A14,Errorlog_table[Year_Week_Number],"="&amp;$G$3,Errorlog_table[Year_Week_Number],"="&amp;$D$3)&gt;0,"X","")</f>
        <v/>
      </c>
      <c r="F14" s="330">
        <f>_xlfn.MAXIFS(Errorlog_table[Year_Week_Number],Errorlog_table[AIR],A14)</f>
        <v>202501</v>
      </c>
      <c r="G14" s="330"/>
      <c r="H14" s="330">
        <f ca="1">COUNTIFS(Errorlog_table[AIR],Summary!A14,Errorlog_table[Year_Week_Number],"&gt;="&amp;$G$3,Errorlog_table[Year_Week_Number],"&lt;="&amp;$D$3)</f>
        <v>0</v>
      </c>
      <c r="I14" s="330">
        <f ca="1">COUNTIFS(Errorlog_table[AIR],Summary!A14,Errorlog_table[P_Hits],"Y",Errorlog_table[Year_Week_Number],"&gt;="&amp;$G$3,Errorlog_table[Year_Week_Number],"&lt;="&amp;$D$3)</f>
        <v>0</v>
      </c>
      <c r="J14" s="330">
        <f t="shared" ca="1" si="0"/>
        <v>0</v>
      </c>
      <c r="K14" s="330">
        <f ca="1">COUNTIFS(Errorlog_table[AIR],Summary!$A14,Errorlog_table[Year_Week_Number],"&gt;="&amp;$G$3,Errorlog_table[Year_Week_Number],"&lt;="&amp;$D$3,Errorlog_table[System],K$5)</f>
        <v>0</v>
      </c>
      <c r="L14" s="330">
        <f ca="1">COUNTIFS(Errorlog_table[AIR],Summary!$A14,Errorlog_table[Year_Week_Number],"&gt;="&amp;$G$3,Errorlog_table[Year_Week_Number],"&lt;="&amp;$D$3,Errorlog_table[System],L$5)</f>
        <v>0</v>
      </c>
      <c r="M14" s="330">
        <f ca="1">COUNTIFS(Errorlog_table[AIR],Summary!$A14,Errorlog_table[Year_Week_Number],"&gt;="&amp;$G$3,Errorlog_table[Year_Week_Number],"&lt;="&amp;$D$3,Errorlog_table[System],M$5)</f>
        <v>0</v>
      </c>
      <c r="N14" s="330">
        <f ca="1">COUNTIFS(Errorlog_table[AIR],Summary!$A14,Errorlog_table[Year_Week_Number],"&gt;="&amp;$G$3,Errorlog_table[Year_Week_Number],"&lt;="&amp;$D$3,Errorlog_table[System],K$5,Errorlog_table[P_Hits],"Y")</f>
        <v>0</v>
      </c>
      <c r="O14" s="330">
        <f ca="1">COUNTIFS(Errorlog_table[AIR],Summary!$A14,Errorlog_table[Year_Week_Number],"&gt;="&amp;$G$3,Errorlog_table[Year_Week_Number],"&lt;="&amp;$D$3,Errorlog_table[System],L$5,Errorlog_table[P_Hits],"Y")</f>
        <v>0</v>
      </c>
      <c r="P14" s="330">
        <f ca="1">COUNTIFS(Errorlog_table[AIR],Summary!$A14,Errorlog_table[Year_Week_Number],"&gt;="&amp;$G$3,Errorlog_table[Year_Week_Number],"&lt;="&amp;$D$3,Errorlog_table[System],M$5,Errorlog_table[P_Hits],"Y")</f>
        <v>0</v>
      </c>
      <c r="Q14" s="324" t="str">
        <f>_xlfn.XLOOKUP(A14,Errorlog_table[AIR],Errorlog_table[Air_issue_description],"not found")</f>
        <v>EpmID:104984| SCN - Refresh Closing wafer | WH-2626 | Scanner Repairs</v>
      </c>
    </row>
    <row r="15" spans="1:17" hidden="1">
      <c r="A15" s="333" t="str">
        <v>P839414</v>
      </c>
      <c r="B15" s="325" t="str">
        <f>_xlfn.XLOOKUP(A15,Errorlog_table[AIR],Errorlog_table[Root_Error],"NA",0)</f>
        <v>ZF-4392</v>
      </c>
      <c r="C15" s="330">
        <f>COUNTIFS(Errorlog_table[AIR],Summary!A15,Errorlog_table[P_Hits],"Y")</f>
        <v>1</v>
      </c>
      <c r="D15" s="330">
        <f>COUNTIFS(Errorlog_table[AIR],Summary!A15,Errorlog_table[U_Hits],"Y")</f>
        <v>1</v>
      </c>
      <c r="E15" s="330"/>
      <c r="F15" s="330">
        <f>_xlfn.MAXIFS(Errorlog_table[Year_Week_Number],Errorlog_table[AIR],A15)</f>
        <v>202501</v>
      </c>
      <c r="G15" s="330"/>
      <c r="H15" s="330">
        <f ca="1">COUNTIFS(Errorlog_table[AIR],Summary!A15,Errorlog_table[Year_Week_Number],"&gt;="&amp;$G$3,Errorlog_table[Year_Week_Number],"&lt;="&amp;$D$3)</f>
        <v>0</v>
      </c>
      <c r="I15" s="330">
        <f ca="1">COUNTIFS(Errorlog_table[AIR],Summary!A15,Errorlog_table[P_Hits],"Y",Errorlog_table[Year_Week_Number],"&gt;="&amp;$G$3,Errorlog_table[Year_Week_Number],"&lt;="&amp;$D$3)</f>
        <v>0</v>
      </c>
      <c r="J15" s="330">
        <f t="shared" ca="1" si="0"/>
        <v>0</v>
      </c>
      <c r="K15" s="330">
        <f ca="1">COUNTIFS(Errorlog_table[AIR],Summary!$A15,Errorlog_table[Year_Week_Number],"&gt;="&amp;$G$3,Errorlog_table[Year_Week_Number],"&lt;="&amp;$D$3,Errorlog_table[System],K$5)</f>
        <v>0</v>
      </c>
      <c r="L15" s="330">
        <f ca="1">COUNTIFS(Errorlog_table[AIR],Summary!$A15,Errorlog_table[Year_Week_Number],"&gt;="&amp;$G$3,Errorlog_table[Year_Week_Number],"&lt;="&amp;$D$3,Errorlog_table[System],L$5)</f>
        <v>0</v>
      </c>
      <c r="M15" s="330">
        <f ca="1">COUNTIFS(Errorlog_table[AIR],Summary!$A15,Errorlog_table[Year_Week_Number],"&gt;="&amp;$G$3,Errorlog_table[Year_Week_Number],"&lt;="&amp;$D$3,Errorlog_table[System],M$5)</f>
        <v>0</v>
      </c>
      <c r="N15" s="330">
        <f ca="1">COUNTIFS(Errorlog_table[AIR],Summary!$A15,Errorlog_table[Year_Week_Number],"&gt;="&amp;$G$3,Errorlog_table[Year_Week_Number],"&lt;="&amp;$D$3,Errorlog_table[System],K$5,Errorlog_table[P_Hits],"Y")</f>
        <v>0</v>
      </c>
      <c r="O15" s="330">
        <f ca="1">COUNTIFS(Errorlog_table[AIR],Summary!$A15,Errorlog_table[Year_Week_Number],"&gt;="&amp;$G$3,Errorlog_table[Year_Week_Number],"&lt;="&amp;$D$3,Errorlog_table[System],L$5,Errorlog_table[P_Hits],"Y")</f>
        <v>0</v>
      </c>
      <c r="P15" s="330">
        <f ca="1">COUNTIFS(Errorlog_table[AIR],Summary!$A15,Errorlog_table[Year_Week_Number],"&gt;="&amp;$G$3,Errorlog_table[Year_Week_Number],"&lt;="&amp;$D$3,Errorlog_table[System],M$5,Errorlog_table[P_Hits],"Y")</f>
        <v>0</v>
      </c>
      <c r="Q15" s="324" t="str">
        <f>_xlfn.XLOOKUP(A15,Errorlog_table[AIR],Errorlog_table[Air_issue_description],"not found")</f>
        <v>P839414 - ZF-4392 Communication failure on GY86, Exception handling needed.</v>
      </c>
    </row>
    <row r="16" spans="1:17" hidden="1">
      <c r="A16" s="333" t="str">
        <v>P825866</v>
      </c>
      <c r="B16" s="325" t="str">
        <f>_xlfn.XLOOKUP(A16,Errorlog_table[AIR],Errorlog_table[Root_Error],"NA",0)</f>
        <v>BP-3900</v>
      </c>
      <c r="C16" s="330">
        <f>COUNTIFS(Errorlog_table[AIR],Summary!A16,Errorlog_table[P_Hits],"Y")</f>
        <v>1</v>
      </c>
      <c r="D16" s="330">
        <f>COUNTIFS(Errorlog_table[AIR],Summary!A16,Errorlog_table[U_Hits],"Y")</f>
        <v>5</v>
      </c>
      <c r="E16" s="330"/>
      <c r="F16" s="330">
        <f>_xlfn.MAXIFS(Errorlog_table[Year_Week_Number],Errorlog_table[AIR],A16)</f>
        <v>202504</v>
      </c>
      <c r="G16" s="330"/>
      <c r="H16" s="330">
        <f ca="1">COUNTIFS(Errorlog_table[AIR],Summary!A16,Errorlog_table[Year_Week_Number],"&gt;="&amp;$G$3,Errorlog_table[Year_Week_Number],"&lt;="&amp;$D$3)</f>
        <v>0</v>
      </c>
      <c r="I16" s="330">
        <f ca="1">COUNTIFS(Errorlog_table[AIR],Summary!A16,Errorlog_table[P_Hits],"Y",Errorlog_table[Year_Week_Number],"&gt;="&amp;$G$3,Errorlog_table[Year_Week_Number],"&lt;="&amp;$D$3)</f>
        <v>0</v>
      </c>
      <c r="J16" s="330">
        <f t="shared" ref="J16:J68" ca="1" si="1">G16*1.5+I16</f>
        <v>0</v>
      </c>
      <c r="K16" s="330">
        <f ca="1">COUNTIFS(Errorlog_table[AIR],Summary!$A16,Errorlog_table[Year_Week_Number],"&gt;="&amp;$G$3,Errorlog_table[Year_Week_Number],"&lt;="&amp;$D$3,Errorlog_table[System],K$5)</f>
        <v>0</v>
      </c>
      <c r="L16" s="330">
        <f ca="1">COUNTIFS(Errorlog_table[AIR],Summary!$A16,Errorlog_table[Year_Week_Number],"&gt;="&amp;$G$3,Errorlog_table[Year_Week_Number],"&lt;="&amp;$D$3,Errorlog_table[System],L$5)</f>
        <v>0</v>
      </c>
      <c r="M16" s="330">
        <f ca="1">COUNTIFS(Errorlog_table[AIR],Summary!$A16,Errorlog_table[Year_Week_Number],"&gt;="&amp;$G$3,Errorlog_table[Year_Week_Number],"&lt;="&amp;$D$3,Errorlog_table[System],M$5)</f>
        <v>0</v>
      </c>
      <c r="N16" s="330">
        <f ca="1">COUNTIFS(Errorlog_table[AIR],Summary!$A16,Errorlog_table[Year_Week_Number],"&gt;="&amp;$G$3,Errorlog_table[Year_Week_Number],"&lt;="&amp;$D$3,Errorlog_table[System],K$5,Errorlog_table[P_Hits],"Y")</f>
        <v>0</v>
      </c>
      <c r="O16" s="330">
        <f ca="1">COUNTIFS(Errorlog_table[AIR],Summary!$A16,Errorlog_table[Year_Week_Number],"&gt;="&amp;$G$3,Errorlog_table[Year_Week_Number],"&lt;="&amp;$D$3,Errorlog_table[System],L$5,Errorlog_table[P_Hits],"Y")</f>
        <v>0</v>
      </c>
      <c r="P16" s="330">
        <f ca="1">COUNTIFS(Errorlog_table[AIR],Summary!$A16,Errorlog_table[Year_Week_Number],"&gt;="&amp;$G$3,Errorlog_table[Year_Week_Number],"&lt;="&amp;$D$3,Errorlog_table[System],M$5,Errorlog_table[P_Hits],"Y")</f>
        <v>0</v>
      </c>
      <c r="Q16" s="324" t="str">
        <f>_xlfn.XLOOKUP(A16,Errorlog_table[AIR],Errorlog_table[Air_issue_description],"not found")</f>
        <v>[E100][EZ60] Remove 500ms check on auxiliary contactors during HV ON and HV OFF</v>
      </c>
    </row>
    <row r="17" spans="1:17" hidden="1">
      <c r="A17" s="333" t="str">
        <v>P817298</v>
      </c>
      <c r="B17" s="325" t="str">
        <f>_xlfn.XLOOKUP(A17,Errorlog_table[AIR],Errorlog_table[Root_Error],"NA",0)</f>
        <v>IS-1363</v>
      </c>
      <c r="C17" s="330">
        <f>COUNTIFS(Errorlog_table[AIR],Summary!A17,Errorlog_table[P_Hits],"Y")</f>
        <v>2</v>
      </c>
      <c r="D17" s="330">
        <f>COUNTIFS(Errorlog_table[AIR],Summary!A17,Errorlog_table[U_Hits],"Y")</f>
        <v>2</v>
      </c>
      <c r="E17" s="330"/>
      <c r="F17" s="330">
        <f>_xlfn.MAXIFS(Errorlog_table[Year_Week_Number],Errorlog_table[AIR],A17)</f>
        <v>202525</v>
      </c>
      <c r="G17" s="330"/>
      <c r="H17" s="330">
        <f ca="1">COUNTIFS(Errorlog_table[AIR],Summary!A17,Errorlog_table[Year_Week_Number],"&gt;="&amp;$G$3,Errorlog_table[Year_Week_Number],"&lt;="&amp;$D$3)</f>
        <v>1</v>
      </c>
      <c r="I17" s="330">
        <f ca="1">COUNTIFS(Errorlog_table[AIR],Summary!A17,Errorlog_table[P_Hits],"Y",Errorlog_table[Year_Week_Number],"&gt;="&amp;$G$3,Errorlog_table[Year_Week_Number],"&lt;="&amp;$D$3)</f>
        <v>1</v>
      </c>
      <c r="J17" s="330">
        <f t="shared" ca="1" si="1"/>
        <v>1</v>
      </c>
      <c r="K17" s="330">
        <f ca="1">COUNTIFS(Errorlog_table[AIR],Summary!$A17,Errorlog_table[Year_Week_Number],"&gt;="&amp;$G$3,Errorlog_table[Year_Week_Number],"&lt;="&amp;$D$3,Errorlog_table[System],K$5)</f>
        <v>0</v>
      </c>
      <c r="L17" s="330">
        <f ca="1">COUNTIFS(Errorlog_table[AIR],Summary!$A17,Errorlog_table[Year_Week_Number],"&gt;="&amp;$G$3,Errorlog_table[Year_Week_Number],"&lt;="&amp;$D$3,Errorlog_table[System],L$5)</f>
        <v>0</v>
      </c>
      <c r="M17" s="330">
        <f ca="1">COUNTIFS(Errorlog_table[AIR],Summary!$A17,Errorlog_table[Year_Week_Number],"&gt;="&amp;$G$3,Errorlog_table[Year_Week_Number],"&lt;="&amp;$D$3,Errorlog_table[System],M$5)</f>
        <v>1</v>
      </c>
      <c r="N17" s="330">
        <f ca="1">COUNTIFS(Errorlog_table[AIR],Summary!$A17,Errorlog_table[Year_Week_Number],"&gt;="&amp;$G$3,Errorlog_table[Year_Week_Number],"&lt;="&amp;$D$3,Errorlog_table[System],K$5,Errorlog_table[P_Hits],"Y")</f>
        <v>0</v>
      </c>
      <c r="O17" s="330">
        <f ca="1">COUNTIFS(Errorlog_table[AIR],Summary!$A17,Errorlog_table[Year_Week_Number],"&gt;="&amp;$G$3,Errorlog_table[Year_Week_Number],"&lt;="&amp;$D$3,Errorlog_table[System],L$5,Errorlog_table[P_Hits],"Y")</f>
        <v>0</v>
      </c>
      <c r="P17" s="330">
        <f ca="1">COUNTIFS(Errorlog_table[AIR],Summary!$A17,Errorlog_table[Year_Week_Number],"&gt;="&amp;$G$3,Errorlog_table[Year_Week_Number],"&lt;="&amp;$D$3,Errorlog_table[System],M$5,Errorlog_table[P_Hits],"Y")</f>
        <v>1</v>
      </c>
      <c r="Q17" s="324" t="str">
        <f>_xlfn.XLOOKUP(A17,Errorlog_table[AIR],Errorlog_table[Air_issue_description],"not found")</f>
        <v>EQHBMI (Coarse POB Calibration) Fails due to [CN-00C0] Closed connection due to read timeo</v>
      </c>
    </row>
    <row r="18" spans="1:17" hidden="1">
      <c r="A18" s="333" t="str">
        <v>P732021</v>
      </c>
      <c r="B18" s="325" t="str">
        <f>_xlfn.XLOOKUP(A18,Errorlog_table[AIR],Errorlog_table[Root_Error],"NA",0)</f>
        <v>LAA-010B</v>
      </c>
      <c r="C18" s="330">
        <f>COUNTIFS(Errorlog_table[AIR],Summary!A18,Errorlog_table[P_Hits],"Y")</f>
        <v>0</v>
      </c>
      <c r="D18" s="330">
        <f>COUNTIFS(Errorlog_table[AIR],Summary!A18,Errorlog_table[U_Hits],"Y")</f>
        <v>1</v>
      </c>
      <c r="E18" s="330"/>
      <c r="F18" s="330">
        <f>_xlfn.MAXIFS(Errorlog_table[Year_Week_Number],Errorlog_table[AIR],A18)</f>
        <v>202502</v>
      </c>
      <c r="G18" s="330"/>
      <c r="H18" s="330">
        <f ca="1">COUNTIFS(Errorlog_table[AIR],Summary!A18,Errorlog_table[Year_Week_Number],"&gt;="&amp;$G$3,Errorlog_table[Year_Week_Number],"&lt;="&amp;$D$3)</f>
        <v>0</v>
      </c>
      <c r="I18" s="330">
        <f ca="1">COUNTIFS(Errorlog_table[AIR],Summary!A18,Errorlog_table[P_Hits],"Y",Errorlog_table[Year_Week_Number],"&gt;="&amp;$G$3,Errorlog_table[Year_Week_Number],"&lt;="&amp;$D$3)</f>
        <v>0</v>
      </c>
      <c r="J18" s="330">
        <f t="shared" ca="1" si="1"/>
        <v>0</v>
      </c>
      <c r="K18" s="330">
        <f ca="1">COUNTIFS(Errorlog_table[AIR],Summary!$A18,Errorlog_table[Year_Week_Number],"&gt;="&amp;$G$3,Errorlog_table[Year_Week_Number],"&lt;="&amp;$D$3,Errorlog_table[System],K$5)</f>
        <v>0</v>
      </c>
      <c r="L18" s="330">
        <f ca="1">COUNTIFS(Errorlog_table[AIR],Summary!$A18,Errorlog_table[Year_Week_Number],"&gt;="&amp;$G$3,Errorlog_table[Year_Week_Number],"&lt;="&amp;$D$3,Errorlog_table[System],L$5)</f>
        <v>0</v>
      </c>
      <c r="M18" s="330">
        <f ca="1">COUNTIFS(Errorlog_table[AIR],Summary!$A18,Errorlog_table[Year_Week_Number],"&gt;="&amp;$G$3,Errorlog_table[Year_Week_Number],"&lt;="&amp;$D$3,Errorlog_table[System],M$5)</f>
        <v>0</v>
      </c>
      <c r="N18" s="330">
        <f ca="1">COUNTIFS(Errorlog_table[AIR],Summary!$A18,Errorlog_table[Year_Week_Number],"&gt;="&amp;$G$3,Errorlog_table[Year_Week_Number],"&lt;="&amp;$D$3,Errorlog_table[System],K$5,Errorlog_table[P_Hits],"Y")</f>
        <v>0</v>
      </c>
      <c r="O18" s="330">
        <f ca="1">COUNTIFS(Errorlog_table[AIR],Summary!$A18,Errorlog_table[Year_Week_Number],"&gt;="&amp;$G$3,Errorlog_table[Year_Week_Number],"&lt;="&amp;$D$3,Errorlog_table[System],L$5,Errorlog_table[P_Hits],"Y")</f>
        <v>0</v>
      </c>
      <c r="P18" s="330">
        <f ca="1">COUNTIFS(Errorlog_table[AIR],Summary!$A18,Errorlog_table[Year_Week_Number],"&gt;="&amp;$G$3,Errorlog_table[Year_Week_Number],"&lt;="&amp;$D$3,Errorlog_table[System],M$5,Errorlog_table[P_Hits],"Y")</f>
        <v>0</v>
      </c>
      <c r="Q18" s="324" t="str">
        <f>_xlfn.XLOOKUP(A18,Errorlog_table[AIR],Errorlog_table[Air_issue_description],"not found")</f>
        <v>EpmID:106269| SRC -  laser failed for LAA-010B | LAA-010B |</v>
      </c>
    </row>
    <row r="19" spans="1:17" hidden="1">
      <c r="A19" s="333" t="str">
        <v>Lot_Stop</v>
      </c>
      <c r="B19" s="325" t="str">
        <f>_xlfn.XLOOKUP(A19,Errorlog_table[AIR],Errorlog_table[Root_Error],"NA",0)</f>
        <v>LO-STOP</v>
      </c>
      <c r="C19" s="330">
        <f>COUNTIFS(Errorlog_table[AIR],Summary!A19,Errorlog_table[P_Hits],"Y")</f>
        <v>0</v>
      </c>
      <c r="D19" s="330">
        <f>COUNTIFS(Errorlog_table[AIR],Summary!A19,Errorlog_table[U_Hits],"Y")</f>
        <v>1</v>
      </c>
      <c r="E19" s="330"/>
      <c r="F19" s="330">
        <f>_xlfn.MAXIFS(Errorlog_table[Year_Week_Number],Errorlog_table[AIR],A19)</f>
        <v>202502</v>
      </c>
      <c r="G19" s="330"/>
      <c r="H19" s="330">
        <f ca="1">COUNTIFS(Errorlog_table[AIR],Summary!A19,Errorlog_table[Year_Week_Number],"&gt;="&amp;$G$3,Errorlog_table[Year_Week_Number],"&lt;="&amp;$D$3)</f>
        <v>0</v>
      </c>
      <c r="I19" s="330">
        <f ca="1">COUNTIFS(Errorlog_table[AIR],Summary!A19,Errorlog_table[P_Hits],"Y",Errorlog_table[Year_Week_Number],"&gt;="&amp;$G$3,Errorlog_table[Year_Week_Number],"&lt;="&amp;$D$3)</f>
        <v>0</v>
      </c>
      <c r="J19" s="330">
        <f t="shared" ca="1" si="1"/>
        <v>0</v>
      </c>
      <c r="K19" s="330">
        <f ca="1">COUNTIFS(Errorlog_table[AIR],Summary!$A19,Errorlog_table[Year_Week_Number],"&gt;="&amp;$G$3,Errorlog_table[Year_Week_Number],"&lt;="&amp;$D$3,Errorlog_table[System],K$5)</f>
        <v>0</v>
      </c>
      <c r="L19" s="330">
        <f ca="1">COUNTIFS(Errorlog_table[AIR],Summary!$A19,Errorlog_table[Year_Week_Number],"&gt;="&amp;$G$3,Errorlog_table[Year_Week_Number],"&lt;="&amp;$D$3,Errorlog_table[System],L$5)</f>
        <v>0</v>
      </c>
      <c r="M19" s="330">
        <f ca="1">COUNTIFS(Errorlog_table[AIR],Summary!$A19,Errorlog_table[Year_Week_Number],"&gt;="&amp;$G$3,Errorlog_table[Year_Week_Number],"&lt;="&amp;$D$3,Errorlog_table[System],M$5)</f>
        <v>0</v>
      </c>
      <c r="N19" s="330">
        <f ca="1">COUNTIFS(Errorlog_table[AIR],Summary!$A19,Errorlog_table[Year_Week_Number],"&gt;="&amp;$G$3,Errorlog_table[Year_Week_Number],"&lt;="&amp;$D$3,Errorlog_table[System],K$5,Errorlog_table[P_Hits],"Y")</f>
        <v>0</v>
      </c>
      <c r="O19" s="330">
        <f ca="1">COUNTIFS(Errorlog_table[AIR],Summary!$A19,Errorlog_table[Year_Week_Number],"&gt;="&amp;$G$3,Errorlog_table[Year_Week_Number],"&lt;="&amp;$D$3,Errorlog_table[System],L$5,Errorlog_table[P_Hits],"Y")</f>
        <v>0</v>
      </c>
      <c r="P19" s="330">
        <f ca="1">COUNTIFS(Errorlog_table[AIR],Summary!$A19,Errorlog_table[Year_Week_Number],"&gt;="&amp;$G$3,Errorlog_table[Year_Week_Number],"&lt;="&amp;$D$3,Errorlog_table[System],M$5,Errorlog_table[P_Hits],"Y")</f>
        <v>0</v>
      </c>
      <c r="Q19" s="324" t="str">
        <f>_xlfn.XLOOKUP(A19,Errorlog_table[AIR],Errorlog_table[Air_issue_description],"not found")</f>
        <v>EpmID:106345| SCN - LOT failed to start |  |</v>
      </c>
    </row>
    <row r="20" spans="1:17" hidden="1">
      <c r="A20" s="333" t="str">
        <v>TiN Refill</v>
      </c>
      <c r="B20" s="325" t="str">
        <f>_xlfn.XLOOKUP(A20,Errorlog_table[AIR],Errorlog_table[Root_Error],"NA",0)</f>
        <v>TinRefill</v>
      </c>
      <c r="C20" s="330">
        <f>COUNTIFS(Errorlog_table[AIR],Summary!A20,Errorlog_table[P_Hits],"Y")</f>
        <v>0</v>
      </c>
      <c r="D20" s="330">
        <f>COUNTIFS(Errorlog_table[AIR],Summary!A20,Errorlog_table[U_Hits],"Y")</f>
        <v>1</v>
      </c>
      <c r="E20" s="330"/>
      <c r="F20" s="330">
        <f>_xlfn.MAXIFS(Errorlog_table[Year_Week_Number],Errorlog_table[AIR],A20)</f>
        <v>202502</v>
      </c>
      <c r="G20" s="330"/>
      <c r="H20" s="330">
        <f ca="1">COUNTIFS(Errorlog_table[AIR],Summary!A20,Errorlog_table[Year_Week_Number],"&gt;="&amp;$G$3,Errorlog_table[Year_Week_Number],"&lt;="&amp;$D$3)</f>
        <v>0</v>
      </c>
      <c r="I20" s="330">
        <f ca="1">COUNTIFS(Errorlog_table[AIR],Summary!A20,Errorlog_table[P_Hits],"Y",Errorlog_table[Year_Week_Number],"&gt;="&amp;$G$3,Errorlog_table[Year_Week_Number],"&lt;="&amp;$D$3)</f>
        <v>0</v>
      </c>
      <c r="J20" s="330">
        <f t="shared" ca="1" si="1"/>
        <v>0</v>
      </c>
      <c r="K20" s="330">
        <f ca="1">COUNTIFS(Errorlog_table[AIR],Summary!$A20,Errorlog_table[Year_Week_Number],"&gt;="&amp;$G$3,Errorlog_table[Year_Week_Number],"&lt;="&amp;$D$3,Errorlog_table[System],K$5)</f>
        <v>0</v>
      </c>
      <c r="L20" s="330">
        <f ca="1">COUNTIFS(Errorlog_table[AIR],Summary!$A20,Errorlog_table[Year_Week_Number],"&gt;="&amp;$G$3,Errorlog_table[Year_Week_Number],"&lt;="&amp;$D$3,Errorlog_table[System],L$5)</f>
        <v>0</v>
      </c>
      <c r="M20" s="330">
        <f ca="1">COUNTIFS(Errorlog_table[AIR],Summary!$A20,Errorlog_table[Year_Week_Number],"&gt;="&amp;$G$3,Errorlog_table[Year_Week_Number],"&lt;="&amp;$D$3,Errorlog_table[System],M$5)</f>
        <v>0</v>
      </c>
      <c r="N20" s="330">
        <f ca="1">COUNTIFS(Errorlog_table[AIR],Summary!$A20,Errorlog_table[Year_Week_Number],"&gt;="&amp;$G$3,Errorlog_table[Year_Week_Number],"&lt;="&amp;$D$3,Errorlog_table[System],K$5,Errorlog_table[P_Hits],"Y")</f>
        <v>0</v>
      </c>
      <c r="O20" s="330">
        <f ca="1">COUNTIFS(Errorlog_table[AIR],Summary!$A20,Errorlog_table[Year_Week_Number],"&gt;="&amp;$G$3,Errorlog_table[Year_Week_Number],"&lt;="&amp;$D$3,Errorlog_table[System],L$5,Errorlog_table[P_Hits],"Y")</f>
        <v>0</v>
      </c>
      <c r="P20" s="330">
        <f ca="1">COUNTIFS(Errorlog_table[AIR],Summary!$A20,Errorlog_table[Year_Week_Number],"&gt;="&amp;$G$3,Errorlog_table[Year_Week_Number],"&lt;="&amp;$D$3,Errorlog_table[System],M$5,Errorlog_table[P_Hits],"Y")</f>
        <v>0</v>
      </c>
      <c r="Q20" s="324" t="str">
        <f>_xlfn.XLOOKUP(A20,Errorlog_table[AIR],Errorlog_table[Air_issue_description],"not found")</f>
        <v>EpmID:106382| SRC- HWO |  | Tin refill reload</v>
      </c>
    </row>
    <row r="21" spans="1:17" hidden="1">
      <c r="A21" s="333" t="str">
        <v>DefectD</v>
      </c>
      <c r="B21" s="325" t="str">
        <f>_xlfn.XLOOKUP(A21,Errorlog_table[AIR],Errorlog_table[Root_Error],"NA",0)</f>
        <v>RU-0D31</v>
      </c>
      <c r="C21" s="330">
        <f>COUNTIFS(Errorlog_table[AIR],Summary!A21,Errorlog_table[P_Hits],"Y")</f>
        <v>0</v>
      </c>
      <c r="D21" s="330">
        <f>COUNTIFS(Errorlog_table[AIR],Summary!A21,Errorlog_table[U_Hits],"Y")</f>
        <v>1</v>
      </c>
      <c r="E21" s="330"/>
      <c r="F21" s="330">
        <f>_xlfn.MAXIFS(Errorlog_table[Year_Week_Number],Errorlog_table[AIR],A21)</f>
        <v>202503</v>
      </c>
      <c r="G21" s="330"/>
      <c r="H21" s="330">
        <f ca="1">COUNTIFS(Errorlog_table[AIR],Summary!A21,Errorlog_table[Year_Week_Number],"&gt;="&amp;$G$3,Errorlog_table[Year_Week_Number],"&lt;="&amp;$D$3)</f>
        <v>0</v>
      </c>
      <c r="I21" s="330">
        <f ca="1">COUNTIFS(Errorlog_table[AIR],Summary!A21,Errorlog_table[P_Hits],"Y",Errorlog_table[Year_Week_Number],"&gt;="&amp;$G$3,Errorlog_table[Year_Week_Number],"&lt;="&amp;$D$3)</f>
        <v>0</v>
      </c>
      <c r="J21" s="330">
        <f t="shared" ca="1" si="1"/>
        <v>0</v>
      </c>
      <c r="K21" s="330">
        <f ca="1">COUNTIFS(Errorlog_table[AIR],Summary!$A21,Errorlog_table[Year_Week_Number],"&gt;="&amp;$G$3,Errorlog_table[Year_Week_Number],"&lt;="&amp;$D$3,Errorlog_table[System],K$5)</f>
        <v>0</v>
      </c>
      <c r="L21" s="330">
        <f ca="1">COUNTIFS(Errorlog_table[AIR],Summary!$A21,Errorlog_table[Year_Week_Number],"&gt;="&amp;$G$3,Errorlog_table[Year_Week_Number],"&lt;="&amp;$D$3,Errorlog_table[System],L$5)</f>
        <v>0</v>
      </c>
      <c r="M21" s="330">
        <f ca="1">COUNTIFS(Errorlog_table[AIR],Summary!$A21,Errorlog_table[Year_Week_Number],"&gt;="&amp;$G$3,Errorlog_table[Year_Week_Number],"&lt;="&amp;$D$3,Errorlog_table[System],M$5)</f>
        <v>0</v>
      </c>
      <c r="N21" s="330">
        <f ca="1">COUNTIFS(Errorlog_table[AIR],Summary!$A21,Errorlog_table[Year_Week_Number],"&gt;="&amp;$G$3,Errorlog_table[Year_Week_Number],"&lt;="&amp;$D$3,Errorlog_table[System],K$5,Errorlog_table[P_Hits],"Y")</f>
        <v>0</v>
      </c>
      <c r="O21" s="330">
        <f ca="1">COUNTIFS(Errorlog_table[AIR],Summary!$A21,Errorlog_table[Year_Week_Number],"&gt;="&amp;$G$3,Errorlog_table[Year_Week_Number],"&lt;="&amp;$D$3,Errorlog_table[System],L$5,Errorlog_table[P_Hits],"Y")</f>
        <v>0</v>
      </c>
      <c r="P21" s="330">
        <f ca="1">COUNTIFS(Errorlog_table[AIR],Summary!$A21,Errorlog_table[Year_Week_Number],"&gt;="&amp;$G$3,Errorlog_table[Year_Week_Number],"&lt;="&amp;$D$3,Errorlog_table[System],M$5,Errorlog_table[P_Hits],"Y")</f>
        <v>0</v>
      </c>
      <c r="Q21" s="324">
        <f>_xlfn.XLOOKUP(A21,Errorlog_table[AIR],Errorlog_table[Air_issue_description],"not found")</f>
        <v>0</v>
      </c>
    </row>
    <row r="22" spans="1:17" hidden="1">
      <c r="A22" s="333" t="str">
        <v>P844961</v>
      </c>
      <c r="B22" s="325" t="str">
        <f>_xlfn.XLOOKUP(A22,Errorlog_table[AIR],Errorlog_table[Root_Error],"NA",0)</f>
        <v>KN-0605</v>
      </c>
      <c r="C22" s="330">
        <f>COUNTIFS(Errorlog_table[AIR],Summary!A22,Errorlog_table[P_Hits],"Y")</f>
        <v>0</v>
      </c>
      <c r="D22" s="330">
        <f>COUNTIFS(Errorlog_table[AIR],Summary!A22,Errorlog_table[U_Hits],"Y")</f>
        <v>1</v>
      </c>
      <c r="E22" s="330"/>
      <c r="F22" s="330">
        <f>_xlfn.MAXIFS(Errorlog_table[Year_Week_Number],Errorlog_table[AIR],A22)</f>
        <v>202504</v>
      </c>
      <c r="G22" s="330"/>
      <c r="H22" s="330">
        <f ca="1">COUNTIFS(Errorlog_table[AIR],Summary!A22,Errorlog_table[Year_Week_Number],"&gt;="&amp;$G$3,Errorlog_table[Year_Week_Number],"&lt;="&amp;$D$3)</f>
        <v>0</v>
      </c>
      <c r="I22" s="330">
        <f ca="1">COUNTIFS(Errorlog_table[AIR],Summary!A22,Errorlog_table[P_Hits],"Y",Errorlog_table[Year_Week_Number],"&gt;="&amp;$G$3,Errorlog_table[Year_Week_Number],"&lt;="&amp;$D$3)</f>
        <v>0</v>
      </c>
      <c r="J22" s="330">
        <f t="shared" ca="1" si="1"/>
        <v>0</v>
      </c>
      <c r="K22" s="330">
        <f ca="1">COUNTIFS(Errorlog_table[AIR],Summary!$A22,Errorlog_table[Year_Week_Number],"&gt;="&amp;$G$3,Errorlog_table[Year_Week_Number],"&lt;="&amp;$D$3,Errorlog_table[System],K$5)</f>
        <v>0</v>
      </c>
      <c r="L22" s="330">
        <f ca="1">COUNTIFS(Errorlog_table[AIR],Summary!$A22,Errorlog_table[Year_Week_Number],"&gt;="&amp;$G$3,Errorlog_table[Year_Week_Number],"&lt;="&amp;$D$3,Errorlog_table[System],L$5)</f>
        <v>0</v>
      </c>
      <c r="M22" s="330">
        <f ca="1">COUNTIFS(Errorlog_table[AIR],Summary!$A22,Errorlog_table[Year_Week_Number],"&gt;="&amp;$G$3,Errorlog_table[Year_Week_Number],"&lt;="&amp;$D$3,Errorlog_table[System],M$5)</f>
        <v>0</v>
      </c>
      <c r="N22" s="330">
        <f ca="1">COUNTIFS(Errorlog_table[AIR],Summary!$A22,Errorlog_table[Year_Week_Number],"&gt;="&amp;$G$3,Errorlog_table[Year_Week_Number],"&lt;="&amp;$D$3,Errorlog_table[System],K$5,Errorlog_table[P_Hits],"Y")</f>
        <v>0</v>
      </c>
      <c r="O22" s="330">
        <f ca="1">COUNTIFS(Errorlog_table[AIR],Summary!$A22,Errorlog_table[Year_Week_Number],"&gt;="&amp;$G$3,Errorlog_table[Year_Week_Number],"&lt;="&amp;$D$3,Errorlog_table[System],L$5,Errorlog_table[P_Hits],"Y")</f>
        <v>0</v>
      </c>
      <c r="P22" s="330">
        <f ca="1">COUNTIFS(Errorlog_table[AIR],Summary!$A22,Errorlog_table[Year_Week_Number],"&gt;="&amp;$G$3,Errorlog_table[Year_Week_Number],"&lt;="&amp;$D$3,Errorlog_table[System],M$5,Errorlog_table[P_Hits],"Y")</f>
        <v>0</v>
      </c>
      <c r="Q22" s="324" t="str">
        <f>_xlfn.XLOOKUP(A22,Errorlog_table[AIR],Errorlog_table[Air_issue_description],"not found")</f>
        <v>related to P840013?</v>
      </c>
    </row>
    <row r="23" spans="1:17" hidden="1">
      <c r="A23" s="333" t="str">
        <v>P850771</v>
      </c>
      <c r="B23" s="325" t="str">
        <f>_xlfn.XLOOKUP(A23,Errorlog_table[AIR],Errorlog_table[Root_Error],"NA",0)</f>
        <v>OO-000B</v>
      </c>
      <c r="C23" s="330">
        <f>COUNTIFS(Errorlog_table[AIR],Summary!A23,Errorlog_table[P_Hits],"Y")</f>
        <v>0</v>
      </c>
      <c r="D23" s="330">
        <f>COUNTIFS(Errorlog_table[AIR],Summary!A23,Errorlog_table[U_Hits],"Y")</f>
        <v>1</v>
      </c>
      <c r="E23" s="330"/>
      <c r="F23" s="330">
        <f>_xlfn.MAXIFS(Errorlog_table[Year_Week_Number],Errorlog_table[AIR],A23)</f>
        <v>202504</v>
      </c>
      <c r="G23" s="330"/>
      <c r="H23" s="330">
        <f ca="1">COUNTIFS(Errorlog_table[AIR],Summary!A23,Errorlog_table[Year_Week_Number],"&gt;="&amp;$G$3,Errorlog_table[Year_Week_Number],"&lt;="&amp;$D$3)</f>
        <v>0</v>
      </c>
      <c r="I23" s="330">
        <f ca="1">COUNTIFS(Errorlog_table[AIR],Summary!A23,Errorlog_table[P_Hits],"Y",Errorlog_table[Year_Week_Number],"&gt;="&amp;$G$3,Errorlog_table[Year_Week_Number],"&lt;="&amp;$D$3)</f>
        <v>0</v>
      </c>
      <c r="J23" s="330">
        <f t="shared" ca="1" si="1"/>
        <v>0</v>
      </c>
      <c r="K23" s="330">
        <f ca="1">COUNTIFS(Errorlog_table[AIR],Summary!$A23,Errorlog_table[Year_Week_Number],"&gt;="&amp;$G$3,Errorlog_table[Year_Week_Number],"&lt;="&amp;$D$3,Errorlog_table[System],K$5)</f>
        <v>0</v>
      </c>
      <c r="L23" s="330">
        <f ca="1">COUNTIFS(Errorlog_table[AIR],Summary!$A23,Errorlog_table[Year_Week_Number],"&gt;="&amp;$G$3,Errorlog_table[Year_Week_Number],"&lt;="&amp;$D$3,Errorlog_table[System],L$5)</f>
        <v>0</v>
      </c>
      <c r="M23" s="330">
        <f ca="1">COUNTIFS(Errorlog_table[AIR],Summary!$A23,Errorlog_table[Year_Week_Number],"&gt;="&amp;$G$3,Errorlog_table[Year_Week_Number],"&lt;="&amp;$D$3,Errorlog_table[System],M$5)</f>
        <v>0</v>
      </c>
      <c r="N23" s="330">
        <f ca="1">COUNTIFS(Errorlog_table[AIR],Summary!$A23,Errorlog_table[Year_Week_Number],"&gt;="&amp;$G$3,Errorlog_table[Year_Week_Number],"&lt;="&amp;$D$3,Errorlog_table[System],K$5,Errorlog_table[P_Hits],"Y")</f>
        <v>0</v>
      </c>
      <c r="O23" s="330">
        <f ca="1">COUNTIFS(Errorlog_table[AIR],Summary!$A23,Errorlog_table[Year_Week_Number],"&gt;="&amp;$G$3,Errorlog_table[Year_Week_Number],"&lt;="&amp;$D$3,Errorlog_table[System],L$5,Errorlog_table[P_Hits],"Y")</f>
        <v>0</v>
      </c>
      <c r="P23" s="330">
        <f ca="1">COUNTIFS(Errorlog_table[AIR],Summary!$A23,Errorlog_table[Year_Week_Number],"&gt;="&amp;$G$3,Errorlog_table[Year_Week_Number],"&lt;="&amp;$D$3,Errorlog_table[System],M$5,Errorlog_table[P_Hits],"Y")</f>
        <v>0</v>
      </c>
      <c r="Q23" s="324" t="str">
        <f>_xlfn.XLOOKUP(A23,Errorlog_table[AIR],Errorlog_table[Air_issue_description],"not found")</f>
        <v>WXRO task died unexpectedly</v>
      </c>
    </row>
    <row r="24" spans="1:17" hidden="1">
      <c r="A24" s="333" t="str">
        <v>P851550</v>
      </c>
      <c r="B24" s="325" t="str">
        <f>_xlfn.XLOOKUP(A24,Errorlog_table[AIR],Errorlog_table[Root_Error],"NA",0)</f>
        <v>RH-98A3</v>
      </c>
      <c r="C24" s="330">
        <f>COUNTIFS(Errorlog_table[AIR],Summary!A24,Errorlog_table[P_Hits],"Y")</f>
        <v>0</v>
      </c>
      <c r="D24" s="330">
        <f>COUNTIFS(Errorlog_table[AIR],Summary!A24,Errorlog_table[U_Hits],"Y")</f>
        <v>1</v>
      </c>
      <c r="E24" s="330"/>
      <c r="F24" s="330">
        <f>_xlfn.MAXIFS(Errorlog_table[Year_Week_Number],Errorlog_table[AIR],A24)</f>
        <v>202504</v>
      </c>
      <c r="G24" s="330"/>
      <c r="H24" s="330">
        <f ca="1">COUNTIFS(Errorlog_table[AIR],Summary!A24,Errorlog_table[Year_Week_Number],"&gt;="&amp;$G$3,Errorlog_table[Year_Week_Number],"&lt;="&amp;$D$3)</f>
        <v>0</v>
      </c>
      <c r="I24" s="330">
        <f ca="1">COUNTIFS(Errorlog_table[AIR],Summary!A24,Errorlog_table[P_Hits],"Y",Errorlog_table[Year_Week_Number],"&gt;="&amp;$G$3,Errorlog_table[Year_Week_Number],"&lt;="&amp;$D$3)</f>
        <v>0</v>
      </c>
      <c r="J24" s="330">
        <f t="shared" ca="1" si="1"/>
        <v>0</v>
      </c>
      <c r="K24" s="330">
        <f ca="1">COUNTIFS(Errorlog_table[AIR],Summary!$A24,Errorlog_table[Year_Week_Number],"&gt;="&amp;$G$3,Errorlog_table[Year_Week_Number],"&lt;="&amp;$D$3,Errorlog_table[System],K$5)</f>
        <v>0</v>
      </c>
      <c r="L24" s="330">
        <f ca="1">COUNTIFS(Errorlog_table[AIR],Summary!$A24,Errorlog_table[Year_Week_Number],"&gt;="&amp;$G$3,Errorlog_table[Year_Week_Number],"&lt;="&amp;$D$3,Errorlog_table[System],L$5)</f>
        <v>0</v>
      </c>
      <c r="M24" s="330">
        <f ca="1">COUNTIFS(Errorlog_table[AIR],Summary!$A24,Errorlog_table[Year_Week_Number],"&gt;="&amp;$G$3,Errorlog_table[Year_Week_Number],"&lt;="&amp;$D$3,Errorlog_table[System],M$5)</f>
        <v>0</v>
      </c>
      <c r="N24" s="330">
        <f ca="1">COUNTIFS(Errorlog_table[AIR],Summary!$A24,Errorlog_table[Year_Week_Number],"&gt;="&amp;$G$3,Errorlog_table[Year_Week_Number],"&lt;="&amp;$D$3,Errorlog_table[System],K$5,Errorlog_table[P_Hits],"Y")</f>
        <v>0</v>
      </c>
      <c r="O24" s="330">
        <f ca="1">COUNTIFS(Errorlog_table[AIR],Summary!$A24,Errorlog_table[Year_Week_Number],"&gt;="&amp;$G$3,Errorlog_table[Year_Week_Number],"&lt;="&amp;$D$3,Errorlog_table[System],L$5,Errorlog_table[P_Hits],"Y")</f>
        <v>0</v>
      </c>
      <c r="P24" s="330">
        <f ca="1">COUNTIFS(Errorlog_table[AIR],Summary!$A24,Errorlog_table[Year_Week_Number],"&gt;="&amp;$G$3,Errorlog_table[Year_Week_Number],"&lt;="&amp;$D$3,Errorlog_table[System],M$5,Errorlog_table[P_Hits],"Y")</f>
        <v>0</v>
      </c>
      <c r="Q24" s="324">
        <f>_xlfn.XLOOKUP(A24,Errorlog_table[AIR],Errorlog_table[Air_issue_description],"not found")</f>
        <v>0</v>
      </c>
    </row>
    <row r="25" spans="1:17" hidden="1">
      <c r="A25" s="333" t="str">
        <v>P852254</v>
      </c>
      <c r="B25" s="325" t="str">
        <f>_xlfn.XLOOKUP(A25,Errorlog_table[AIR],Errorlog_table[Root_Error],"NA",0)</f>
        <v>RU-465E</v>
      </c>
      <c r="C25" s="330">
        <f>COUNTIFS(Errorlog_table[AIR],Summary!A25,Errorlog_table[P_Hits],"Y")</f>
        <v>0</v>
      </c>
      <c r="D25" s="330">
        <f>COUNTIFS(Errorlog_table[AIR],Summary!A25,Errorlog_table[U_Hits],"Y")</f>
        <v>2</v>
      </c>
      <c r="E25" s="330"/>
      <c r="F25" s="330">
        <f>_xlfn.MAXIFS(Errorlog_table[Year_Week_Number],Errorlog_table[AIR],A25)</f>
        <v>202505</v>
      </c>
      <c r="G25" s="330"/>
      <c r="H25" s="330">
        <f ca="1">COUNTIFS(Errorlog_table[AIR],Summary!A25,Errorlog_table[Year_Week_Number],"&gt;="&amp;$G$3,Errorlog_table[Year_Week_Number],"&lt;="&amp;$D$3)</f>
        <v>0</v>
      </c>
      <c r="I25" s="330">
        <f ca="1">COUNTIFS(Errorlog_table[AIR],Summary!A25,Errorlog_table[P_Hits],"Y",Errorlog_table[Year_Week_Number],"&gt;="&amp;$G$3,Errorlog_table[Year_Week_Number],"&lt;="&amp;$D$3)</f>
        <v>0</v>
      </c>
      <c r="J25" s="330">
        <f t="shared" ca="1" si="1"/>
        <v>0</v>
      </c>
      <c r="K25" s="330">
        <f ca="1">COUNTIFS(Errorlog_table[AIR],Summary!$A25,Errorlog_table[Year_Week_Number],"&gt;="&amp;$G$3,Errorlog_table[Year_Week_Number],"&lt;="&amp;$D$3,Errorlog_table[System],K$5)</f>
        <v>0</v>
      </c>
      <c r="L25" s="330">
        <f ca="1">COUNTIFS(Errorlog_table[AIR],Summary!$A25,Errorlog_table[Year_Week_Number],"&gt;="&amp;$G$3,Errorlog_table[Year_Week_Number],"&lt;="&amp;$D$3,Errorlog_table[System],L$5)</f>
        <v>0</v>
      </c>
      <c r="M25" s="330">
        <f ca="1">COUNTIFS(Errorlog_table[AIR],Summary!$A25,Errorlog_table[Year_Week_Number],"&gt;="&amp;$G$3,Errorlog_table[Year_Week_Number],"&lt;="&amp;$D$3,Errorlog_table[System],M$5)</f>
        <v>0</v>
      </c>
      <c r="N25" s="330">
        <f ca="1">COUNTIFS(Errorlog_table[AIR],Summary!$A25,Errorlog_table[Year_Week_Number],"&gt;="&amp;$G$3,Errorlog_table[Year_Week_Number],"&lt;="&amp;$D$3,Errorlog_table[System],K$5,Errorlog_table[P_Hits],"Y")</f>
        <v>0</v>
      </c>
      <c r="O25" s="330">
        <f ca="1">COUNTIFS(Errorlog_table[AIR],Summary!$A25,Errorlog_table[Year_Week_Number],"&gt;="&amp;$G$3,Errorlog_table[Year_Week_Number],"&lt;="&amp;$D$3,Errorlog_table[System],L$5,Errorlog_table[P_Hits],"Y")</f>
        <v>0</v>
      </c>
      <c r="P25" s="330">
        <f ca="1">COUNTIFS(Errorlog_table[AIR],Summary!$A25,Errorlog_table[Year_Week_Number],"&gt;="&amp;$G$3,Errorlog_table[Year_Week_Number],"&lt;="&amp;$D$3,Errorlog_table[System],M$5,Errorlog_table[P_Hits],"Y")</f>
        <v>0</v>
      </c>
      <c r="Q25" s="324" t="str">
        <f>_xlfn.XLOOKUP(A25,Errorlog_table[AIR],Errorlog_table[Air_issue_description],"not found")</f>
        <v>OVR cross talk with LDLK / P838000</v>
      </c>
    </row>
    <row r="26" spans="1:17" hidden="1">
      <c r="A26" s="333" t="str">
        <v>P853301</v>
      </c>
      <c r="B26" s="325" t="str">
        <f>_xlfn.XLOOKUP(A26,Errorlog_table[AIR],Errorlog_table[Root_Error],"NA",0)</f>
        <v>PG-7407</v>
      </c>
      <c r="C26" s="330">
        <f>COUNTIFS(Errorlog_table[AIR],Summary!A26,Errorlog_table[P_Hits],"Y")</f>
        <v>0</v>
      </c>
      <c r="D26" s="330">
        <f>COUNTIFS(Errorlog_table[AIR],Summary!A26,Errorlog_table[U_Hits],"Y")</f>
        <v>1</v>
      </c>
      <c r="E26" s="330"/>
      <c r="F26" s="330">
        <f>_xlfn.MAXIFS(Errorlog_table[Year_Week_Number],Errorlog_table[AIR],A26)</f>
        <v>202505</v>
      </c>
      <c r="G26" s="330"/>
      <c r="H26" s="330">
        <f ca="1">COUNTIFS(Errorlog_table[AIR],Summary!A26,Errorlog_table[Year_Week_Number],"&gt;="&amp;$G$3,Errorlog_table[Year_Week_Number],"&lt;="&amp;$D$3)</f>
        <v>0</v>
      </c>
      <c r="I26" s="330">
        <f ca="1">COUNTIFS(Errorlog_table[AIR],Summary!A26,Errorlog_table[P_Hits],"Y",Errorlog_table[Year_Week_Number],"&gt;="&amp;$G$3,Errorlog_table[Year_Week_Number],"&lt;="&amp;$D$3)</f>
        <v>0</v>
      </c>
      <c r="J26" s="330">
        <f t="shared" ca="1" si="1"/>
        <v>0</v>
      </c>
      <c r="K26" s="330">
        <f ca="1">COUNTIFS(Errorlog_table[AIR],Summary!$A26,Errorlog_table[Year_Week_Number],"&gt;="&amp;$G$3,Errorlog_table[Year_Week_Number],"&lt;="&amp;$D$3,Errorlog_table[System],K$5)</f>
        <v>0</v>
      </c>
      <c r="L26" s="330">
        <f ca="1">COUNTIFS(Errorlog_table[AIR],Summary!$A26,Errorlog_table[Year_Week_Number],"&gt;="&amp;$G$3,Errorlog_table[Year_Week_Number],"&lt;="&amp;$D$3,Errorlog_table[System],L$5)</f>
        <v>0</v>
      </c>
      <c r="M26" s="330">
        <f ca="1">COUNTIFS(Errorlog_table[AIR],Summary!$A26,Errorlog_table[Year_Week_Number],"&gt;="&amp;$G$3,Errorlog_table[Year_Week_Number],"&lt;="&amp;$D$3,Errorlog_table[System],M$5)</f>
        <v>0</v>
      </c>
      <c r="N26" s="330">
        <f ca="1">COUNTIFS(Errorlog_table[AIR],Summary!$A26,Errorlog_table[Year_Week_Number],"&gt;="&amp;$G$3,Errorlog_table[Year_Week_Number],"&lt;="&amp;$D$3,Errorlog_table[System],K$5,Errorlog_table[P_Hits],"Y")</f>
        <v>0</v>
      </c>
      <c r="O26" s="330">
        <f ca="1">COUNTIFS(Errorlog_table[AIR],Summary!$A26,Errorlog_table[Year_Week_Number],"&gt;="&amp;$G$3,Errorlog_table[Year_Week_Number],"&lt;="&amp;$D$3,Errorlog_table[System],L$5,Errorlog_table[P_Hits],"Y")</f>
        <v>0</v>
      </c>
      <c r="P26" s="330">
        <f ca="1">COUNTIFS(Errorlog_table[AIR],Summary!$A26,Errorlog_table[Year_Week_Number],"&gt;="&amp;$G$3,Errorlog_table[Year_Week_Number],"&lt;="&amp;$D$3,Errorlog_table[System],M$5,Errorlog_table[P_Hits],"Y")</f>
        <v>0</v>
      </c>
      <c r="Q26" s="324" t="str">
        <f>_xlfn.XLOOKUP(A26,Errorlog_table[AIR],Errorlog_table[Air_issue_description],"not found")</f>
        <v>IPT auto recovery feature</v>
      </c>
    </row>
    <row r="27" spans="1:17" hidden="1">
      <c r="A27" s="333" t="str">
        <v>P792003</v>
      </c>
      <c r="B27" s="325" t="str">
        <f>_xlfn.XLOOKUP(A27,Errorlog_table[AIR],Errorlog_table[Root_Error],"NA",0)</f>
        <v>DW-5A01</v>
      </c>
      <c r="C27" s="330">
        <f>COUNTIFS(Errorlog_table[AIR],Summary!A27,Errorlog_table[P_Hits],"Y")</f>
        <v>1</v>
      </c>
      <c r="D27" s="330">
        <f>COUNTIFS(Errorlog_table[AIR],Summary!A27,Errorlog_table[U_Hits],"Y")</f>
        <v>1</v>
      </c>
      <c r="E27" s="330"/>
      <c r="F27" s="330">
        <f>_xlfn.MAXIFS(Errorlog_table[Year_Week_Number],Errorlog_table[AIR],A27)</f>
        <v>202505</v>
      </c>
      <c r="G27" s="330"/>
      <c r="H27" s="330">
        <f ca="1">COUNTIFS(Errorlog_table[AIR],Summary!A27,Errorlog_table[Year_Week_Number],"&gt;="&amp;$G$3,Errorlog_table[Year_Week_Number],"&lt;="&amp;$D$3)</f>
        <v>0</v>
      </c>
      <c r="I27" s="330">
        <f ca="1">COUNTIFS(Errorlog_table[AIR],Summary!A27,Errorlog_table[P_Hits],"Y",Errorlog_table[Year_Week_Number],"&gt;="&amp;$G$3,Errorlog_table[Year_Week_Number],"&lt;="&amp;$D$3)</f>
        <v>0</v>
      </c>
      <c r="J27" s="330">
        <f t="shared" ca="1" si="1"/>
        <v>0</v>
      </c>
      <c r="K27" s="330">
        <f ca="1">COUNTIFS(Errorlog_table[AIR],Summary!$A27,Errorlog_table[Year_Week_Number],"&gt;="&amp;$G$3,Errorlog_table[Year_Week_Number],"&lt;="&amp;$D$3,Errorlog_table[System],K$5)</f>
        <v>0</v>
      </c>
      <c r="L27" s="330">
        <f ca="1">COUNTIFS(Errorlog_table[AIR],Summary!$A27,Errorlog_table[Year_Week_Number],"&gt;="&amp;$G$3,Errorlog_table[Year_Week_Number],"&lt;="&amp;$D$3,Errorlog_table[System],L$5)</f>
        <v>0</v>
      </c>
      <c r="M27" s="330">
        <f ca="1">COUNTIFS(Errorlog_table[AIR],Summary!$A27,Errorlog_table[Year_Week_Number],"&gt;="&amp;$G$3,Errorlog_table[Year_Week_Number],"&lt;="&amp;$D$3,Errorlog_table[System],M$5)</f>
        <v>0</v>
      </c>
      <c r="N27" s="330">
        <f ca="1">COUNTIFS(Errorlog_table[AIR],Summary!$A27,Errorlog_table[Year_Week_Number],"&gt;="&amp;$G$3,Errorlog_table[Year_Week_Number],"&lt;="&amp;$D$3,Errorlog_table[System],K$5,Errorlog_table[P_Hits],"Y")</f>
        <v>0</v>
      </c>
      <c r="O27" s="330">
        <f ca="1">COUNTIFS(Errorlog_table[AIR],Summary!$A27,Errorlog_table[Year_Week_Number],"&gt;="&amp;$G$3,Errorlog_table[Year_Week_Number],"&lt;="&amp;$D$3,Errorlog_table[System],L$5,Errorlog_table[P_Hits],"Y")</f>
        <v>0</v>
      </c>
      <c r="P27" s="330">
        <f ca="1">COUNTIFS(Errorlog_table[AIR],Summary!$A27,Errorlog_table[Year_Week_Number],"&gt;="&amp;$G$3,Errorlog_table[Year_Week_Number],"&lt;="&amp;$D$3,Errorlog_table[System],M$5,Errorlog_table[P_Hits],"Y")</f>
        <v>0</v>
      </c>
      <c r="Q27" s="324" t="str">
        <f>_xlfn.XLOOKUP(A27,Errorlog_table[AIR],Errorlog_table[Air_issue_description],"not found")</f>
        <v>EXE NOK w/ Dose Eval Enabled - Buffer Size != nr Samples</v>
      </c>
    </row>
    <row r="28" spans="1:17" hidden="1">
      <c r="A28" s="333" t="str">
        <v>P853207</v>
      </c>
      <c r="B28" s="325" t="str">
        <f>_xlfn.XLOOKUP(A28,Errorlog_table[AIR],Errorlog_table[Root_Error],"NA",0)</f>
        <v>MX-0000</v>
      </c>
      <c r="C28" s="330">
        <f>COUNTIFS(Errorlog_table[AIR],Summary!A28,Errorlog_table[P_Hits],"Y")</f>
        <v>1</v>
      </c>
      <c r="D28" s="330">
        <f>COUNTIFS(Errorlog_table[AIR],Summary!A28,Errorlog_table[U_Hits],"Y")</f>
        <v>1</v>
      </c>
      <c r="E28" s="330"/>
      <c r="F28" s="330">
        <f>_xlfn.MAXIFS(Errorlog_table[Year_Week_Number],Errorlog_table[AIR],A28)</f>
        <v>202505</v>
      </c>
      <c r="G28" s="330"/>
      <c r="H28" s="330">
        <f ca="1">COUNTIFS(Errorlog_table[AIR],Summary!A28,Errorlog_table[Year_Week_Number],"&gt;="&amp;$G$3,Errorlog_table[Year_Week_Number],"&lt;="&amp;$D$3)</f>
        <v>0</v>
      </c>
      <c r="I28" s="330">
        <f ca="1">COUNTIFS(Errorlog_table[AIR],Summary!A28,Errorlog_table[P_Hits],"Y",Errorlog_table[Year_Week_Number],"&gt;="&amp;$G$3,Errorlog_table[Year_Week_Number],"&lt;="&amp;$D$3)</f>
        <v>0</v>
      </c>
      <c r="J28" s="330">
        <f t="shared" ca="1" si="1"/>
        <v>0</v>
      </c>
      <c r="K28" s="330">
        <f ca="1">COUNTIFS(Errorlog_table[AIR],Summary!$A28,Errorlog_table[Year_Week_Number],"&gt;="&amp;$G$3,Errorlog_table[Year_Week_Number],"&lt;="&amp;$D$3,Errorlog_table[System],K$5)</f>
        <v>0</v>
      </c>
      <c r="L28" s="330">
        <f ca="1">COUNTIFS(Errorlog_table[AIR],Summary!$A28,Errorlog_table[Year_Week_Number],"&gt;="&amp;$G$3,Errorlog_table[Year_Week_Number],"&lt;="&amp;$D$3,Errorlog_table[System],L$5)</f>
        <v>0</v>
      </c>
      <c r="M28" s="330">
        <f ca="1">COUNTIFS(Errorlog_table[AIR],Summary!$A28,Errorlog_table[Year_Week_Number],"&gt;="&amp;$G$3,Errorlog_table[Year_Week_Number],"&lt;="&amp;$D$3,Errorlog_table[System],M$5)</f>
        <v>0</v>
      </c>
      <c r="N28" s="330">
        <f ca="1">COUNTIFS(Errorlog_table[AIR],Summary!$A28,Errorlog_table[Year_Week_Number],"&gt;="&amp;$G$3,Errorlog_table[Year_Week_Number],"&lt;="&amp;$D$3,Errorlog_table[System],K$5,Errorlog_table[P_Hits],"Y")</f>
        <v>0</v>
      </c>
      <c r="O28" s="330">
        <f ca="1">COUNTIFS(Errorlog_table[AIR],Summary!$A28,Errorlog_table[Year_Week_Number],"&gt;="&amp;$G$3,Errorlog_table[Year_Week_Number],"&lt;="&amp;$D$3,Errorlog_table[System],L$5,Errorlog_table[P_Hits],"Y")</f>
        <v>0</v>
      </c>
      <c r="P28" s="330">
        <f ca="1">COUNTIFS(Errorlog_table[AIR],Summary!$A28,Errorlog_table[Year_Week_Number],"&gt;="&amp;$G$3,Errorlog_table[Year_Week_Number],"&lt;="&amp;$D$3,Errorlog_table[System],M$5,Errorlog_table[P_Hits],"Y")</f>
        <v>0</v>
      </c>
      <c r="Q28" s="324" t="str">
        <f>_xlfn.XLOOKUP(A28,Errorlog_table[AIR],Errorlog_table[Air_issue_description],"not found")</f>
        <v xml:space="preserve">EXE GY86 Intel - Lot abort due to  MX-000 and WDMA dying unexpectedly. </v>
      </c>
    </row>
    <row r="29" spans="1:17" hidden="1">
      <c r="A29" s="333" t="str">
        <v>P838726</v>
      </c>
      <c r="B29" s="325" t="str">
        <f>_xlfn.XLOOKUP(A29,Errorlog_table[AIR],Errorlog_table[Root_Error],"NA",0)</f>
        <v>CG-A34D</v>
      </c>
      <c r="C29" s="330">
        <f>COUNTIFS(Errorlog_table[AIR],Summary!A29,Errorlog_table[P_Hits],"Y")</f>
        <v>1</v>
      </c>
      <c r="D29" s="330">
        <f>COUNTIFS(Errorlog_table[AIR],Summary!A29,Errorlog_table[U_Hits],"Y")</f>
        <v>1</v>
      </c>
      <c r="E29" s="330"/>
      <c r="F29" s="330">
        <f>_xlfn.MAXIFS(Errorlog_table[Year_Week_Number],Errorlog_table[AIR],A29)</f>
        <v>202505</v>
      </c>
      <c r="G29" s="330"/>
      <c r="H29" s="330">
        <f ca="1">COUNTIFS(Errorlog_table[AIR],Summary!A29,Errorlog_table[Year_Week_Number],"&gt;="&amp;$G$3,Errorlog_table[Year_Week_Number],"&lt;="&amp;$D$3)</f>
        <v>0</v>
      </c>
      <c r="I29" s="330">
        <f ca="1">COUNTIFS(Errorlog_table[AIR],Summary!A29,Errorlog_table[P_Hits],"Y",Errorlog_table[Year_Week_Number],"&gt;="&amp;$G$3,Errorlog_table[Year_Week_Number],"&lt;="&amp;$D$3)</f>
        <v>0</v>
      </c>
      <c r="J29" s="330">
        <f t="shared" ca="1" si="1"/>
        <v>0</v>
      </c>
      <c r="K29" s="330">
        <f ca="1">COUNTIFS(Errorlog_table[AIR],Summary!$A29,Errorlog_table[Year_Week_Number],"&gt;="&amp;$G$3,Errorlog_table[Year_Week_Number],"&lt;="&amp;$D$3,Errorlog_table[System],K$5)</f>
        <v>0</v>
      </c>
      <c r="L29" s="330">
        <f ca="1">COUNTIFS(Errorlog_table[AIR],Summary!$A29,Errorlog_table[Year_Week_Number],"&gt;="&amp;$G$3,Errorlog_table[Year_Week_Number],"&lt;="&amp;$D$3,Errorlog_table[System],L$5)</f>
        <v>0</v>
      </c>
      <c r="M29" s="330">
        <f ca="1">COUNTIFS(Errorlog_table[AIR],Summary!$A29,Errorlog_table[Year_Week_Number],"&gt;="&amp;$G$3,Errorlog_table[Year_Week_Number],"&lt;="&amp;$D$3,Errorlog_table[System],M$5)</f>
        <v>0</v>
      </c>
      <c r="N29" s="330">
        <f ca="1">COUNTIFS(Errorlog_table[AIR],Summary!$A29,Errorlog_table[Year_Week_Number],"&gt;="&amp;$G$3,Errorlog_table[Year_Week_Number],"&lt;="&amp;$D$3,Errorlog_table[System],K$5,Errorlog_table[P_Hits],"Y")</f>
        <v>0</v>
      </c>
      <c r="O29" s="330">
        <f ca="1">COUNTIFS(Errorlog_table[AIR],Summary!$A29,Errorlog_table[Year_Week_Number],"&gt;="&amp;$G$3,Errorlog_table[Year_Week_Number],"&lt;="&amp;$D$3,Errorlog_table[System],L$5,Errorlog_table[P_Hits],"Y")</f>
        <v>0</v>
      </c>
      <c r="P29" s="330">
        <f ca="1">COUNTIFS(Errorlog_table[AIR],Summary!$A29,Errorlog_table[Year_Week_Number],"&gt;="&amp;$G$3,Errorlog_table[Year_Week_Number],"&lt;="&amp;$D$3,Errorlog_table[System],M$5,Errorlog_table[P_Hits],"Y")</f>
        <v>0</v>
      </c>
      <c r="Q29" s="324" t="str">
        <f>_xlfn.XLOOKUP(A29,Errorlog_table[AIR],Errorlog_table[Air_issue_description],"not found")</f>
        <v>PCBR-HPPX-S6B2 (bad batch)</v>
      </c>
    </row>
    <row r="30" spans="1:17" hidden="1">
      <c r="A30" s="333" t="str">
        <v>P823264</v>
      </c>
      <c r="B30" s="325" t="str">
        <f>_xlfn.XLOOKUP(A30,Errorlog_table[AIR],Errorlog_table[Root_Error],"NA",0)</f>
        <v>RH-C177</v>
      </c>
      <c r="C30" s="330">
        <f>COUNTIFS(Errorlog_table[AIR],Summary!A30,Errorlog_table[P_Hits],"Y")</f>
        <v>0</v>
      </c>
      <c r="D30" s="330">
        <f>COUNTIFS(Errorlog_table[AIR],Summary!A30,Errorlog_table[U_Hits],"Y")</f>
        <v>8</v>
      </c>
      <c r="E30" s="330"/>
      <c r="F30" s="330">
        <f>_xlfn.MAXIFS(Errorlog_table[Year_Week_Number],Errorlog_table[AIR],A30)</f>
        <v>202524</v>
      </c>
      <c r="G30" s="330"/>
      <c r="H30" s="330">
        <f ca="1">COUNTIFS(Errorlog_table[AIR],Summary!A30,Errorlog_table[Year_Week_Number],"&gt;="&amp;$G$3,Errorlog_table[Year_Week_Number],"&lt;="&amp;$D$3)</f>
        <v>1</v>
      </c>
      <c r="I30" s="330">
        <f ca="1">COUNTIFS(Errorlog_table[AIR],Summary!A30,Errorlog_table[P_Hits],"Y",Errorlog_table[Year_Week_Number],"&gt;="&amp;$G$3,Errorlog_table[Year_Week_Number],"&lt;="&amp;$D$3)</f>
        <v>0</v>
      </c>
      <c r="J30" s="330">
        <f t="shared" ca="1" si="1"/>
        <v>0</v>
      </c>
      <c r="K30" s="330">
        <f ca="1">COUNTIFS(Errorlog_table[AIR],Summary!$A30,Errorlog_table[Year_Week_Number],"&gt;="&amp;$G$3,Errorlog_table[Year_Week_Number],"&lt;="&amp;$D$3,Errorlog_table[System],K$5)</f>
        <v>1</v>
      </c>
      <c r="L30" s="330">
        <f ca="1">COUNTIFS(Errorlog_table[AIR],Summary!$A30,Errorlog_table[Year_Week_Number],"&gt;="&amp;$G$3,Errorlog_table[Year_Week_Number],"&lt;="&amp;$D$3,Errorlog_table[System],L$5)</f>
        <v>0</v>
      </c>
      <c r="M30" s="330">
        <f ca="1">COUNTIFS(Errorlog_table[AIR],Summary!$A30,Errorlog_table[Year_Week_Number],"&gt;="&amp;$G$3,Errorlog_table[Year_Week_Number],"&lt;="&amp;$D$3,Errorlog_table[System],M$5)</f>
        <v>0</v>
      </c>
      <c r="N30" s="330">
        <f ca="1">COUNTIFS(Errorlog_table[AIR],Summary!$A30,Errorlog_table[Year_Week_Number],"&gt;="&amp;$G$3,Errorlog_table[Year_Week_Number],"&lt;="&amp;$D$3,Errorlog_table[System],K$5,Errorlog_table[P_Hits],"Y")</f>
        <v>0</v>
      </c>
      <c r="O30" s="330">
        <f ca="1">COUNTIFS(Errorlog_table[AIR],Summary!$A30,Errorlog_table[Year_Week_Number],"&gt;="&amp;$G$3,Errorlog_table[Year_Week_Number],"&lt;="&amp;$D$3,Errorlog_table[System],L$5,Errorlog_table[P_Hits],"Y")</f>
        <v>0</v>
      </c>
      <c r="P30" s="330">
        <f ca="1">COUNTIFS(Errorlog_table[AIR],Summary!$A30,Errorlog_table[Year_Week_Number],"&gt;="&amp;$G$3,Errorlog_table[Year_Week_Number],"&lt;="&amp;$D$3,Errorlog_table[System],M$5,Errorlog_table[P_Hits],"Y")</f>
        <v>0</v>
      </c>
      <c r="Q30" s="324" t="str">
        <f>_xlfn.XLOOKUP(A30,Errorlog_table[AIR],Errorlog_table[Air_issue_description],"not found")</f>
        <v>Reticle Inventory fails due to 2DBCR cannot read barcode</v>
      </c>
    </row>
    <row r="31" spans="1:17" hidden="1">
      <c r="A31" s="333" t="str">
        <v>P856575</v>
      </c>
      <c r="B31" s="325" t="str">
        <f>_xlfn.XLOOKUP(A31,Errorlog_table[AIR],Errorlog_table[Root_Error],"NA",0)</f>
        <v>BP-3900</v>
      </c>
      <c r="C31" s="330">
        <f>COUNTIFS(Errorlog_table[AIR],Summary!A31,Errorlog_table[P_Hits],"Y")</f>
        <v>1</v>
      </c>
      <c r="D31" s="330">
        <f>COUNTIFS(Errorlog_table[AIR],Summary!A31,Errorlog_table[U_Hits],"Y")</f>
        <v>1</v>
      </c>
      <c r="E31" s="330"/>
      <c r="F31" s="330">
        <f>_xlfn.MAXIFS(Errorlog_table[Year_Week_Number],Errorlog_table[AIR],A31)</f>
        <v>202505</v>
      </c>
      <c r="G31" s="330"/>
      <c r="H31" s="330">
        <f ca="1">COUNTIFS(Errorlog_table[AIR],Summary!A31,Errorlog_table[Year_Week_Number],"&gt;="&amp;$G$3,Errorlog_table[Year_Week_Number],"&lt;="&amp;$D$3)</f>
        <v>0</v>
      </c>
      <c r="I31" s="330">
        <f ca="1">COUNTIFS(Errorlog_table[AIR],Summary!A31,Errorlog_table[P_Hits],"Y",Errorlog_table[Year_Week_Number],"&gt;="&amp;$G$3,Errorlog_table[Year_Week_Number],"&lt;="&amp;$D$3)</f>
        <v>0</v>
      </c>
      <c r="J31" s="330">
        <f t="shared" ca="1" si="1"/>
        <v>0</v>
      </c>
      <c r="K31" s="330">
        <f ca="1">COUNTIFS(Errorlog_table[AIR],Summary!$A31,Errorlog_table[Year_Week_Number],"&gt;="&amp;$G$3,Errorlog_table[Year_Week_Number],"&lt;="&amp;$D$3,Errorlog_table[System],K$5)</f>
        <v>0</v>
      </c>
      <c r="L31" s="330">
        <f ca="1">COUNTIFS(Errorlog_table[AIR],Summary!$A31,Errorlog_table[Year_Week_Number],"&gt;="&amp;$G$3,Errorlog_table[Year_Week_Number],"&lt;="&amp;$D$3,Errorlog_table[System],L$5)</f>
        <v>0</v>
      </c>
      <c r="M31" s="330">
        <f ca="1">COUNTIFS(Errorlog_table[AIR],Summary!$A31,Errorlog_table[Year_Week_Number],"&gt;="&amp;$G$3,Errorlog_table[Year_Week_Number],"&lt;="&amp;$D$3,Errorlog_table[System],M$5)</f>
        <v>0</v>
      </c>
      <c r="N31" s="330">
        <f ca="1">COUNTIFS(Errorlog_table[AIR],Summary!$A31,Errorlog_table[Year_Week_Number],"&gt;="&amp;$G$3,Errorlog_table[Year_Week_Number],"&lt;="&amp;$D$3,Errorlog_table[System],K$5,Errorlog_table[P_Hits],"Y")</f>
        <v>0</v>
      </c>
      <c r="O31" s="330">
        <f ca="1">COUNTIFS(Errorlog_table[AIR],Summary!$A31,Errorlog_table[Year_Week_Number],"&gt;="&amp;$G$3,Errorlog_table[Year_Week_Number],"&lt;="&amp;$D$3,Errorlog_table[System],L$5,Errorlog_table[P_Hits],"Y")</f>
        <v>0</v>
      </c>
      <c r="P31" s="330">
        <f ca="1">COUNTIFS(Errorlog_table[AIR],Summary!$A31,Errorlog_table[Year_Week_Number],"&gt;="&amp;$G$3,Errorlog_table[Year_Week_Number],"&lt;="&amp;$D$3,Errorlog_table[System],M$5,Errorlog_table[P_Hits],"Y")</f>
        <v>0</v>
      </c>
      <c r="Q31" s="324" t="str">
        <f>_xlfn.XLOOKUP(A31,Errorlog_table[AIR],Errorlog_table[Air_issue_description],"not found")</f>
        <v>Loss of BFSR communication triggered a false water leak alarm which tripped SH042/059/087</v>
      </c>
    </row>
    <row r="32" spans="1:17" hidden="1">
      <c r="A32" s="333" t="str">
        <v>P859023</v>
      </c>
      <c r="B32" s="325" t="str">
        <f>_xlfn.XLOOKUP(A32,Errorlog_table[AIR],Errorlog_table[Root_Error],"NA",0)</f>
        <v>OE-2401</v>
      </c>
      <c r="C32" s="330">
        <f>COUNTIFS(Errorlog_table[AIR],Summary!A32,Errorlog_table[P_Hits],"Y")</f>
        <v>1</v>
      </c>
      <c r="D32" s="330">
        <f>COUNTIFS(Errorlog_table[AIR],Summary!A32,Errorlog_table[U_Hits],"Y")</f>
        <v>1</v>
      </c>
      <c r="E32" s="330"/>
      <c r="F32" s="330">
        <f>_xlfn.MAXIFS(Errorlog_table[Year_Week_Number],Errorlog_table[AIR],A32)</f>
        <v>202506</v>
      </c>
      <c r="G32" s="330"/>
      <c r="H32" s="330">
        <f ca="1">COUNTIFS(Errorlog_table[AIR],Summary!A32,Errorlog_table[Year_Week_Number],"&gt;="&amp;$G$3,Errorlog_table[Year_Week_Number],"&lt;="&amp;$D$3)</f>
        <v>0</v>
      </c>
      <c r="I32" s="330">
        <f ca="1">COUNTIFS(Errorlog_table[AIR],Summary!A32,Errorlog_table[P_Hits],"Y",Errorlog_table[Year_Week_Number],"&gt;="&amp;$G$3,Errorlog_table[Year_Week_Number],"&lt;="&amp;$D$3)</f>
        <v>0</v>
      </c>
      <c r="J32" s="330">
        <f t="shared" ca="1" si="1"/>
        <v>0</v>
      </c>
      <c r="K32" s="330">
        <f ca="1">COUNTIFS(Errorlog_table[AIR],Summary!$A32,Errorlog_table[Year_Week_Number],"&gt;="&amp;$G$3,Errorlog_table[Year_Week_Number],"&lt;="&amp;$D$3,Errorlog_table[System],K$5)</f>
        <v>0</v>
      </c>
      <c r="L32" s="330">
        <f ca="1">COUNTIFS(Errorlog_table[AIR],Summary!$A32,Errorlog_table[Year_Week_Number],"&gt;="&amp;$G$3,Errorlog_table[Year_Week_Number],"&lt;="&amp;$D$3,Errorlog_table[System],L$5)</f>
        <v>0</v>
      </c>
      <c r="M32" s="330">
        <f ca="1">COUNTIFS(Errorlog_table[AIR],Summary!$A32,Errorlog_table[Year_Week_Number],"&gt;="&amp;$G$3,Errorlog_table[Year_Week_Number],"&lt;="&amp;$D$3,Errorlog_table[System],M$5)</f>
        <v>0</v>
      </c>
      <c r="N32" s="330">
        <f ca="1">COUNTIFS(Errorlog_table[AIR],Summary!$A32,Errorlog_table[Year_Week_Number],"&gt;="&amp;$G$3,Errorlog_table[Year_Week_Number],"&lt;="&amp;$D$3,Errorlog_table[System],K$5,Errorlog_table[P_Hits],"Y")</f>
        <v>0</v>
      </c>
      <c r="O32" s="330">
        <f ca="1">COUNTIFS(Errorlog_table[AIR],Summary!$A32,Errorlog_table[Year_Week_Number],"&gt;="&amp;$G$3,Errorlog_table[Year_Week_Number],"&lt;="&amp;$D$3,Errorlog_table[System],L$5,Errorlog_table[P_Hits],"Y")</f>
        <v>0</v>
      </c>
      <c r="P32" s="330">
        <f ca="1">COUNTIFS(Errorlog_table[AIR],Summary!$A32,Errorlog_table[Year_Week_Number],"&gt;="&amp;$G$3,Errorlog_table[Year_Week_Number],"&lt;="&amp;$D$3,Errorlog_table[System],M$5,Errorlog_table[P_Hits],"Y")</f>
        <v>0</v>
      </c>
      <c r="Q32" s="324" t="str">
        <f>_xlfn.XLOOKUP(A32,Errorlog_table[AIR],Errorlog_table[Air_issue_description],"not found")</f>
        <v>reassigned from P820514: 19-2-2025</v>
      </c>
    </row>
    <row r="33" spans="1:17" hidden="1">
      <c r="A33" s="333" t="str">
        <v>P656698</v>
      </c>
      <c r="B33" s="325" t="str">
        <f>_xlfn.XLOOKUP(A33,Errorlog_table[AIR],Errorlog_table[Root_Error],"NA",0)</f>
        <v>WE-0C04</v>
      </c>
      <c r="C33" s="330">
        <f>COUNTIFS(Errorlog_table[AIR],Summary!A33,Errorlog_table[P_Hits],"Y")</f>
        <v>2</v>
      </c>
      <c r="D33" s="330">
        <f>COUNTIFS(Errorlog_table[AIR],Summary!A33,Errorlog_table[U_Hits],"Y")</f>
        <v>2</v>
      </c>
      <c r="E33" s="330"/>
      <c r="F33" s="330">
        <f>_xlfn.MAXIFS(Errorlog_table[Year_Week_Number],Errorlog_table[AIR],A33)</f>
        <v>202514</v>
      </c>
      <c r="G33" s="330"/>
      <c r="H33" s="330">
        <f ca="1">COUNTIFS(Errorlog_table[AIR],Summary!A33,Errorlog_table[Year_Week_Number],"&gt;="&amp;$G$3,Errorlog_table[Year_Week_Number],"&lt;="&amp;$D$3)</f>
        <v>0</v>
      </c>
      <c r="I33" s="330">
        <f ca="1">COUNTIFS(Errorlog_table[AIR],Summary!A33,Errorlog_table[P_Hits],"Y",Errorlog_table[Year_Week_Number],"&gt;="&amp;$G$3,Errorlog_table[Year_Week_Number],"&lt;="&amp;$D$3)</f>
        <v>0</v>
      </c>
      <c r="J33" s="330">
        <f t="shared" ca="1" si="1"/>
        <v>0</v>
      </c>
      <c r="K33" s="330">
        <f ca="1">COUNTIFS(Errorlog_table[AIR],Summary!$A33,Errorlog_table[Year_Week_Number],"&gt;="&amp;$G$3,Errorlog_table[Year_Week_Number],"&lt;="&amp;$D$3,Errorlog_table[System],K$5)</f>
        <v>0</v>
      </c>
      <c r="L33" s="330">
        <f ca="1">COUNTIFS(Errorlog_table[AIR],Summary!$A33,Errorlog_table[Year_Week_Number],"&gt;="&amp;$G$3,Errorlog_table[Year_Week_Number],"&lt;="&amp;$D$3,Errorlog_table[System],L$5)</f>
        <v>0</v>
      </c>
      <c r="M33" s="330">
        <f ca="1">COUNTIFS(Errorlog_table[AIR],Summary!$A33,Errorlog_table[Year_Week_Number],"&gt;="&amp;$G$3,Errorlog_table[Year_Week_Number],"&lt;="&amp;$D$3,Errorlog_table[System],M$5)</f>
        <v>0</v>
      </c>
      <c r="N33" s="330">
        <f ca="1">COUNTIFS(Errorlog_table[AIR],Summary!$A33,Errorlog_table[Year_Week_Number],"&gt;="&amp;$G$3,Errorlog_table[Year_Week_Number],"&lt;="&amp;$D$3,Errorlog_table[System],K$5,Errorlog_table[P_Hits],"Y")</f>
        <v>0</v>
      </c>
      <c r="O33" s="330">
        <f ca="1">COUNTIFS(Errorlog_table[AIR],Summary!$A33,Errorlog_table[Year_Week_Number],"&gt;="&amp;$G$3,Errorlog_table[Year_Week_Number],"&lt;="&amp;$D$3,Errorlog_table[System],L$5,Errorlog_table[P_Hits],"Y")</f>
        <v>0</v>
      </c>
      <c r="P33" s="330">
        <f ca="1">COUNTIFS(Errorlog_table[AIR],Summary!$A33,Errorlog_table[Year_Week_Number],"&gt;="&amp;$G$3,Errorlog_table[Year_Week_Number],"&lt;="&amp;$D$3,Errorlog_table[System],M$5,Errorlog_table[P_Hits],"Y")</f>
        <v>0</v>
      </c>
      <c r="Q33" s="324" t="str">
        <f>_xlfn.XLOOKUP(A33,Errorlog_table[AIR],Errorlog_table[Air_issue_description],"not found")</f>
        <v>BGDS manifolds fail during use due to broken solenoids on quick release valve</v>
      </c>
    </row>
    <row r="34" spans="1:17" hidden="1">
      <c r="A34" s="333" t="str">
        <v>P838000</v>
      </c>
      <c r="B34" s="325" t="str">
        <f>_xlfn.XLOOKUP(A34,Errorlog_table[AIR],Errorlog_table[Root_Error],"NA",0)</f>
        <v>RU-1F2E</v>
      </c>
      <c r="C34" s="330">
        <f>COUNTIFS(Errorlog_table[AIR],Summary!A34,Errorlog_table[P_Hits],"Y")</f>
        <v>0</v>
      </c>
      <c r="D34" s="330">
        <f>COUNTIFS(Errorlog_table[AIR],Summary!A34,Errorlog_table[U_Hits],"Y")</f>
        <v>1</v>
      </c>
      <c r="E34" s="330"/>
      <c r="F34" s="330">
        <f>_xlfn.MAXIFS(Errorlog_table[Year_Week_Number],Errorlog_table[AIR],A34)</f>
        <v>202507</v>
      </c>
      <c r="G34" s="330"/>
      <c r="H34" s="330">
        <f ca="1">COUNTIFS(Errorlog_table[AIR],Summary!A34,Errorlog_table[Year_Week_Number],"&gt;="&amp;$G$3,Errorlog_table[Year_Week_Number],"&lt;="&amp;$D$3)</f>
        <v>0</v>
      </c>
      <c r="I34" s="330">
        <f ca="1">COUNTIFS(Errorlog_table[AIR],Summary!A34,Errorlog_table[P_Hits],"Y",Errorlog_table[Year_Week_Number],"&gt;="&amp;$G$3,Errorlog_table[Year_Week_Number],"&lt;="&amp;$D$3)</f>
        <v>0</v>
      </c>
      <c r="J34" s="330">
        <f t="shared" ca="1" si="1"/>
        <v>0</v>
      </c>
      <c r="K34" s="330">
        <f ca="1">COUNTIFS(Errorlog_table[AIR],Summary!$A34,Errorlog_table[Year_Week_Number],"&gt;="&amp;$G$3,Errorlog_table[Year_Week_Number],"&lt;="&amp;$D$3,Errorlog_table[System],K$5)</f>
        <v>0</v>
      </c>
      <c r="L34" s="330">
        <f ca="1">COUNTIFS(Errorlog_table[AIR],Summary!$A34,Errorlog_table[Year_Week_Number],"&gt;="&amp;$G$3,Errorlog_table[Year_Week_Number],"&lt;="&amp;$D$3,Errorlog_table[System],L$5)</f>
        <v>0</v>
      </c>
      <c r="M34" s="330">
        <f ca="1">COUNTIFS(Errorlog_table[AIR],Summary!$A34,Errorlog_table[Year_Week_Number],"&gt;="&amp;$G$3,Errorlog_table[Year_Week_Number],"&lt;="&amp;$D$3,Errorlog_table[System],M$5)</f>
        <v>0</v>
      </c>
      <c r="N34" s="330">
        <f ca="1">COUNTIFS(Errorlog_table[AIR],Summary!$A34,Errorlog_table[Year_Week_Number],"&gt;="&amp;$G$3,Errorlog_table[Year_Week_Number],"&lt;="&amp;$D$3,Errorlog_table[System],K$5,Errorlog_table[P_Hits],"Y")</f>
        <v>0</v>
      </c>
      <c r="O34" s="330">
        <f ca="1">COUNTIFS(Errorlog_table[AIR],Summary!$A34,Errorlog_table[Year_Week_Number],"&gt;="&amp;$G$3,Errorlog_table[Year_Week_Number],"&lt;="&amp;$D$3,Errorlog_table[System],L$5,Errorlog_table[P_Hits],"Y")</f>
        <v>0</v>
      </c>
      <c r="P34" s="330">
        <f ca="1">COUNTIFS(Errorlog_table[AIR],Summary!$A34,Errorlog_table[Year_Week_Number],"&gt;="&amp;$G$3,Errorlog_table[Year_Week_Number],"&lt;="&amp;$D$3,Errorlog_table[System],M$5,Errorlog_table[P_Hits],"Y")</f>
        <v>0</v>
      </c>
      <c r="Q34" s="324" t="str">
        <f>_xlfn.XLOOKUP(A34,Errorlog_table[AIR],Errorlog_table[Air_issue_description],"not found")</f>
        <v>moved retilce to 2nd loadport and adjusted X-over setpoint</v>
      </c>
    </row>
    <row r="35" spans="1:17" hidden="1">
      <c r="A35" s="333" t="str">
        <v>P861609</v>
      </c>
      <c r="B35" s="325" t="str">
        <f>_xlfn.XLOOKUP(A35,Errorlog_table[AIR],Errorlog_table[Root_Error],"NA",0)</f>
        <v>RM-3246</v>
      </c>
      <c r="C35" s="330">
        <f>COUNTIFS(Errorlog_table[AIR],Summary!A35,Errorlog_table[P_Hits],"Y")</f>
        <v>1</v>
      </c>
      <c r="D35" s="330">
        <f>COUNTIFS(Errorlog_table[AIR],Summary!A35,Errorlog_table[U_Hits],"Y")</f>
        <v>1</v>
      </c>
      <c r="E35" s="330"/>
      <c r="F35" s="330">
        <f>_xlfn.MAXIFS(Errorlog_table[Year_Week_Number],Errorlog_table[AIR],A35)</f>
        <v>202508</v>
      </c>
      <c r="G35" s="330"/>
      <c r="H35" s="330">
        <f ca="1">COUNTIFS(Errorlog_table[AIR],Summary!A35,Errorlog_table[Year_Week_Number],"&gt;="&amp;$G$3,Errorlog_table[Year_Week_Number],"&lt;="&amp;$D$3)</f>
        <v>0</v>
      </c>
      <c r="I35" s="330">
        <f ca="1">COUNTIFS(Errorlog_table[AIR],Summary!A35,Errorlog_table[P_Hits],"Y",Errorlog_table[Year_Week_Number],"&gt;="&amp;$G$3,Errorlog_table[Year_Week_Number],"&lt;="&amp;$D$3)</f>
        <v>0</v>
      </c>
      <c r="J35" s="330">
        <f t="shared" ca="1" si="1"/>
        <v>0</v>
      </c>
      <c r="K35" s="330">
        <f ca="1">COUNTIFS(Errorlog_table[AIR],Summary!$A35,Errorlog_table[Year_Week_Number],"&gt;="&amp;$G$3,Errorlog_table[Year_Week_Number],"&lt;="&amp;$D$3,Errorlog_table[System],K$5)</f>
        <v>0</v>
      </c>
      <c r="L35" s="330">
        <f ca="1">COUNTIFS(Errorlog_table[AIR],Summary!$A35,Errorlog_table[Year_Week_Number],"&gt;="&amp;$G$3,Errorlog_table[Year_Week_Number],"&lt;="&amp;$D$3,Errorlog_table[System],L$5)</f>
        <v>0</v>
      </c>
      <c r="M35" s="330">
        <f ca="1">COUNTIFS(Errorlog_table[AIR],Summary!$A35,Errorlog_table[Year_Week_Number],"&gt;="&amp;$G$3,Errorlog_table[Year_Week_Number],"&lt;="&amp;$D$3,Errorlog_table[System],M$5)</f>
        <v>0</v>
      </c>
      <c r="N35" s="330">
        <f ca="1">COUNTIFS(Errorlog_table[AIR],Summary!$A35,Errorlog_table[Year_Week_Number],"&gt;="&amp;$G$3,Errorlog_table[Year_Week_Number],"&lt;="&amp;$D$3,Errorlog_table[System],K$5,Errorlog_table[P_Hits],"Y")</f>
        <v>0</v>
      </c>
      <c r="O35" s="330">
        <f ca="1">COUNTIFS(Errorlog_table[AIR],Summary!$A35,Errorlog_table[Year_Week_Number],"&gt;="&amp;$G$3,Errorlog_table[Year_Week_Number],"&lt;="&amp;$D$3,Errorlog_table[System],L$5,Errorlog_table[P_Hits],"Y")</f>
        <v>0</v>
      </c>
      <c r="P35" s="330">
        <f ca="1">COUNTIFS(Errorlog_table[AIR],Summary!$A35,Errorlog_table[Year_Week_Number],"&gt;="&amp;$G$3,Errorlog_table[Year_Week_Number],"&lt;="&amp;$D$3,Errorlog_table[System],M$5,Errorlog_table[P_Hits],"Y")</f>
        <v>0</v>
      </c>
      <c r="Q35" s="324" t="str">
        <f>_xlfn.XLOOKUP(A35,Errorlog_table[AIR],Errorlog_table[Air_issue_description],"not found")</f>
        <v>Change default RCWC-XL BLD trip level to mitigate VolDiff value fluctuations</v>
      </c>
    </row>
    <row r="36" spans="1:17" hidden="1">
      <c r="A36" s="333" t="str">
        <v>P860660</v>
      </c>
      <c r="B36" s="325" t="str">
        <f>_xlfn.XLOOKUP(A36,Errorlog_table[AIR],Errorlog_table[Root_Error],"NA",0)</f>
        <v>RU-1B22</v>
      </c>
      <c r="C36" s="330">
        <f>COUNTIFS(Errorlog_table[AIR],Summary!A36,Errorlog_table[P_Hits],"Y")</f>
        <v>6</v>
      </c>
      <c r="D36" s="330">
        <f>COUNTIFS(Errorlog_table[AIR],Summary!A36,Errorlog_table[U_Hits],"Y")</f>
        <v>9</v>
      </c>
      <c r="E36" s="330"/>
      <c r="F36" s="330">
        <f>_xlfn.MAXIFS(Errorlog_table[Year_Week_Number],Errorlog_table[AIR],A36)</f>
        <v>202520</v>
      </c>
      <c r="G36" s="330"/>
      <c r="H36" s="330">
        <f ca="1">COUNTIFS(Errorlog_table[AIR],Summary!A36,Errorlog_table[Year_Week_Number],"&gt;="&amp;$G$3,Errorlog_table[Year_Week_Number],"&lt;="&amp;$D$3)</f>
        <v>0</v>
      </c>
      <c r="I36" s="330">
        <f ca="1">COUNTIFS(Errorlog_table[AIR],Summary!A36,Errorlog_table[P_Hits],"Y",Errorlog_table[Year_Week_Number],"&gt;="&amp;$G$3,Errorlog_table[Year_Week_Number],"&lt;="&amp;$D$3)</f>
        <v>0</v>
      </c>
      <c r="J36" s="330">
        <f t="shared" ca="1" si="1"/>
        <v>0</v>
      </c>
      <c r="K36" s="330">
        <f ca="1">COUNTIFS(Errorlog_table[AIR],Summary!$A36,Errorlog_table[Year_Week_Number],"&gt;="&amp;$G$3,Errorlog_table[Year_Week_Number],"&lt;="&amp;$D$3,Errorlog_table[System],K$5)</f>
        <v>0</v>
      </c>
      <c r="L36" s="330">
        <f ca="1">COUNTIFS(Errorlog_table[AIR],Summary!$A36,Errorlog_table[Year_Week_Number],"&gt;="&amp;$G$3,Errorlog_table[Year_Week_Number],"&lt;="&amp;$D$3,Errorlog_table[System],L$5)</f>
        <v>0</v>
      </c>
      <c r="M36" s="330">
        <f ca="1">COUNTIFS(Errorlog_table[AIR],Summary!$A36,Errorlog_table[Year_Week_Number],"&gt;="&amp;$G$3,Errorlog_table[Year_Week_Number],"&lt;="&amp;$D$3,Errorlog_table[System],M$5)</f>
        <v>0</v>
      </c>
      <c r="N36" s="330">
        <f ca="1">COUNTIFS(Errorlog_table[AIR],Summary!$A36,Errorlog_table[Year_Week_Number],"&gt;="&amp;$G$3,Errorlog_table[Year_Week_Number],"&lt;="&amp;$D$3,Errorlog_table[System],K$5,Errorlog_table[P_Hits],"Y")</f>
        <v>0</v>
      </c>
      <c r="O36" s="330">
        <f ca="1">COUNTIFS(Errorlog_table[AIR],Summary!$A36,Errorlog_table[Year_Week_Number],"&gt;="&amp;$G$3,Errorlog_table[Year_Week_Number],"&lt;="&amp;$D$3,Errorlog_table[System],L$5,Errorlog_table[P_Hits],"Y")</f>
        <v>0</v>
      </c>
      <c r="P36" s="330">
        <f ca="1">COUNTIFS(Errorlog_table[AIR],Summary!$A36,Errorlog_table[Year_Week_Number],"&gt;="&amp;$G$3,Errorlog_table[Year_Week_Number],"&lt;="&amp;$D$3,Errorlog_table[System],M$5,Errorlog_table[P_Hits],"Y")</f>
        <v>0</v>
      </c>
      <c r="Q36" s="324" t="str">
        <f>_xlfn.XLOOKUP(A36,Errorlog_table[AIR],Errorlog_table[Air_issue_description],"not found")</f>
        <v xml:space="preserve"> [CR51] Lot abort unload fail RU-1B22 after ARR</v>
      </c>
    </row>
    <row r="37" spans="1:17" hidden="1">
      <c r="A37" s="333" t="str">
        <v>P844973</v>
      </c>
      <c r="B37" s="325" t="str">
        <f>_xlfn.XLOOKUP(A37,Errorlog_table[AIR],Errorlog_table[Root_Error],"NA",0)</f>
        <v>IS-1367</v>
      </c>
      <c r="C37" s="330">
        <f>COUNTIFS(Errorlog_table[AIR],Summary!A37,Errorlog_table[P_Hits],"Y")</f>
        <v>2</v>
      </c>
      <c r="D37" s="330">
        <f>COUNTIFS(Errorlog_table[AIR],Summary!A37,Errorlog_table[U_Hits],"Y")</f>
        <v>2</v>
      </c>
      <c r="E37" s="330"/>
      <c r="F37" s="330">
        <f>_xlfn.MAXIFS(Errorlog_table[Year_Week_Number],Errorlog_table[AIR],A37)</f>
        <v>202514</v>
      </c>
      <c r="G37" s="330"/>
      <c r="H37" s="330">
        <f ca="1">COUNTIFS(Errorlog_table[AIR],Summary!A37,Errorlog_table[Year_Week_Number],"&gt;="&amp;$G$3,Errorlog_table[Year_Week_Number],"&lt;="&amp;$D$3)</f>
        <v>0</v>
      </c>
      <c r="I37" s="330">
        <f ca="1">COUNTIFS(Errorlog_table[AIR],Summary!A37,Errorlog_table[P_Hits],"Y",Errorlog_table[Year_Week_Number],"&gt;="&amp;$G$3,Errorlog_table[Year_Week_Number],"&lt;="&amp;$D$3)</f>
        <v>0</v>
      </c>
      <c r="J37" s="330">
        <f t="shared" ca="1" si="1"/>
        <v>0</v>
      </c>
      <c r="K37" s="330">
        <f ca="1">COUNTIFS(Errorlog_table[AIR],Summary!$A37,Errorlog_table[Year_Week_Number],"&gt;="&amp;$G$3,Errorlog_table[Year_Week_Number],"&lt;="&amp;$D$3,Errorlog_table[System],K$5)</f>
        <v>0</v>
      </c>
      <c r="L37" s="330">
        <f ca="1">COUNTIFS(Errorlog_table[AIR],Summary!$A37,Errorlog_table[Year_Week_Number],"&gt;="&amp;$G$3,Errorlog_table[Year_Week_Number],"&lt;="&amp;$D$3,Errorlog_table[System],L$5)</f>
        <v>0</v>
      </c>
      <c r="M37" s="330">
        <f ca="1">COUNTIFS(Errorlog_table[AIR],Summary!$A37,Errorlog_table[Year_Week_Number],"&gt;="&amp;$G$3,Errorlog_table[Year_Week_Number],"&lt;="&amp;$D$3,Errorlog_table[System],M$5)</f>
        <v>0</v>
      </c>
      <c r="N37" s="330">
        <f ca="1">COUNTIFS(Errorlog_table[AIR],Summary!$A37,Errorlog_table[Year_Week_Number],"&gt;="&amp;$G$3,Errorlog_table[Year_Week_Number],"&lt;="&amp;$D$3,Errorlog_table[System],K$5,Errorlog_table[P_Hits],"Y")</f>
        <v>0</v>
      </c>
      <c r="O37" s="330">
        <f ca="1">COUNTIFS(Errorlog_table[AIR],Summary!$A37,Errorlog_table[Year_Week_Number],"&gt;="&amp;$G$3,Errorlog_table[Year_Week_Number],"&lt;="&amp;$D$3,Errorlog_table[System],L$5,Errorlog_table[P_Hits],"Y")</f>
        <v>0</v>
      </c>
      <c r="P37" s="330">
        <f ca="1">COUNTIFS(Errorlog_table[AIR],Summary!$A37,Errorlog_table[Year_Week_Number],"&gt;="&amp;$G$3,Errorlog_table[Year_Week_Number],"&lt;="&amp;$D$3,Errorlog_table[System],M$5,Errorlog_table[P_Hits],"Y")</f>
        <v>0</v>
      </c>
      <c r="Q37" s="324" t="str">
        <f>_xlfn.XLOOKUP(A37,Errorlog_table[AIR],Errorlog_table[Air_issue_description],"not found")</f>
        <v xml:space="preserve"> [PBS18823] WS ZJM Delivery</v>
      </c>
    </row>
    <row r="38" spans="1:17" hidden="1">
      <c r="A38" s="333" t="str">
        <v>P866623</v>
      </c>
      <c r="B38" s="325" t="str">
        <f>_xlfn.XLOOKUP(A38,Errorlog_table[AIR],Errorlog_table[Root_Error],"NA",0)</f>
        <v>RQ-F000</v>
      </c>
      <c r="C38" s="330">
        <f>COUNTIFS(Errorlog_table[AIR],Summary!A38,Errorlog_table[P_Hits],"Y")</f>
        <v>1</v>
      </c>
      <c r="D38" s="330">
        <f>COUNTIFS(Errorlog_table[AIR],Summary!A38,Errorlog_table[U_Hits],"Y")</f>
        <v>1</v>
      </c>
      <c r="E38" s="330"/>
      <c r="F38" s="330">
        <f>_xlfn.MAXIFS(Errorlog_table[Year_Week_Number],Errorlog_table[AIR],A38)</f>
        <v>202510</v>
      </c>
      <c r="G38" s="330"/>
      <c r="H38" s="330">
        <f ca="1">COUNTIFS(Errorlog_table[AIR],Summary!A38,Errorlog_table[Year_Week_Number],"&gt;="&amp;$G$3,Errorlog_table[Year_Week_Number],"&lt;="&amp;$D$3)</f>
        <v>0</v>
      </c>
      <c r="I38" s="330">
        <f ca="1">COUNTIFS(Errorlog_table[AIR],Summary!A38,Errorlog_table[P_Hits],"Y",Errorlog_table[Year_Week_Number],"&gt;="&amp;$G$3,Errorlog_table[Year_Week_Number],"&lt;="&amp;$D$3)</f>
        <v>0</v>
      </c>
      <c r="J38" s="330">
        <f t="shared" ca="1" si="1"/>
        <v>0</v>
      </c>
      <c r="K38" s="330">
        <f ca="1">COUNTIFS(Errorlog_table[AIR],Summary!$A38,Errorlog_table[Year_Week_Number],"&gt;="&amp;$G$3,Errorlog_table[Year_Week_Number],"&lt;="&amp;$D$3,Errorlog_table[System],K$5)</f>
        <v>0</v>
      </c>
      <c r="L38" s="330">
        <f ca="1">COUNTIFS(Errorlog_table[AIR],Summary!$A38,Errorlog_table[Year_Week_Number],"&gt;="&amp;$G$3,Errorlog_table[Year_Week_Number],"&lt;="&amp;$D$3,Errorlog_table[System],L$5)</f>
        <v>0</v>
      </c>
      <c r="M38" s="330">
        <f ca="1">COUNTIFS(Errorlog_table[AIR],Summary!$A38,Errorlog_table[Year_Week_Number],"&gt;="&amp;$G$3,Errorlog_table[Year_Week_Number],"&lt;="&amp;$D$3,Errorlog_table[System],M$5)</f>
        <v>0</v>
      </c>
      <c r="N38" s="330">
        <f ca="1">COUNTIFS(Errorlog_table[AIR],Summary!$A38,Errorlog_table[Year_Week_Number],"&gt;="&amp;$G$3,Errorlog_table[Year_Week_Number],"&lt;="&amp;$D$3,Errorlog_table[System],K$5,Errorlog_table[P_Hits],"Y")</f>
        <v>0</v>
      </c>
      <c r="O38" s="330">
        <f ca="1">COUNTIFS(Errorlog_table[AIR],Summary!$A38,Errorlog_table[Year_Week_Number],"&gt;="&amp;$G$3,Errorlog_table[Year_Week_Number],"&lt;="&amp;$D$3,Errorlog_table[System],L$5,Errorlog_table[P_Hits],"Y")</f>
        <v>0</v>
      </c>
      <c r="P38" s="330">
        <f ca="1">COUNTIFS(Errorlog_table[AIR],Summary!$A38,Errorlog_table[Year_Week_Number],"&gt;="&amp;$G$3,Errorlog_table[Year_Week_Number],"&lt;="&amp;$D$3,Errorlog_table[System],M$5,Errorlog_table[P_Hits],"Y")</f>
        <v>0</v>
      </c>
      <c r="Q38" s="324" t="str">
        <f>_xlfn.XLOOKUP(A38,Errorlog_table[AIR],Errorlog_table[Air_issue_description],"not found")</f>
        <v>RS related lot abort | RQ-F000 | (03/09/2025 03:09:56.4002 RQ-F000 E</v>
      </c>
    </row>
    <row r="39" spans="1:17" hidden="1">
      <c r="A39" s="333" t="str">
        <v>P815894</v>
      </c>
      <c r="B39" s="325" t="str">
        <f>_xlfn.XLOOKUP(A39,Errorlog_table[AIR],Errorlog_table[Root_Error],"NA",0)</f>
        <v>CN-00AF</v>
      </c>
      <c r="C39" s="330">
        <f>COUNTIFS(Errorlog_table[AIR],Summary!A39,Errorlog_table[P_Hits],"Y")</f>
        <v>0</v>
      </c>
      <c r="D39" s="330">
        <f>COUNTIFS(Errorlog_table[AIR],Summary!A39,Errorlog_table[U_Hits],"Y")</f>
        <v>1</v>
      </c>
      <c r="E39" s="330"/>
      <c r="F39" s="330">
        <f>_xlfn.MAXIFS(Errorlog_table[Year_Week_Number],Errorlog_table[AIR],A39)</f>
        <v>202511</v>
      </c>
      <c r="G39" s="330"/>
      <c r="H39" s="330">
        <f ca="1">COUNTIFS(Errorlog_table[AIR],Summary!A39,Errorlog_table[Year_Week_Number],"&gt;="&amp;$G$3,Errorlog_table[Year_Week_Number],"&lt;="&amp;$D$3)</f>
        <v>0</v>
      </c>
      <c r="I39" s="330">
        <f ca="1">COUNTIFS(Errorlog_table[AIR],Summary!A39,Errorlog_table[P_Hits],"Y",Errorlog_table[Year_Week_Number],"&gt;="&amp;$G$3,Errorlog_table[Year_Week_Number],"&lt;="&amp;$D$3)</f>
        <v>0</v>
      </c>
      <c r="J39" s="330">
        <f t="shared" ca="1" si="1"/>
        <v>0</v>
      </c>
      <c r="K39" s="330">
        <f ca="1">COUNTIFS(Errorlog_table[AIR],Summary!$A39,Errorlog_table[Year_Week_Number],"&gt;="&amp;$G$3,Errorlog_table[Year_Week_Number],"&lt;="&amp;$D$3,Errorlog_table[System],K$5)</f>
        <v>0</v>
      </c>
      <c r="L39" s="330">
        <f ca="1">COUNTIFS(Errorlog_table[AIR],Summary!$A39,Errorlog_table[Year_Week_Number],"&gt;="&amp;$G$3,Errorlog_table[Year_Week_Number],"&lt;="&amp;$D$3,Errorlog_table[System],L$5)</f>
        <v>0</v>
      </c>
      <c r="M39" s="330">
        <f ca="1">COUNTIFS(Errorlog_table[AIR],Summary!$A39,Errorlog_table[Year_Week_Number],"&gt;="&amp;$G$3,Errorlog_table[Year_Week_Number],"&lt;="&amp;$D$3,Errorlog_table[System],M$5)</f>
        <v>0</v>
      </c>
      <c r="N39" s="330">
        <f ca="1">COUNTIFS(Errorlog_table[AIR],Summary!$A39,Errorlog_table[Year_Week_Number],"&gt;="&amp;$G$3,Errorlog_table[Year_Week_Number],"&lt;="&amp;$D$3,Errorlog_table[System],K$5,Errorlog_table[P_Hits],"Y")</f>
        <v>0</v>
      </c>
      <c r="O39" s="330">
        <f ca="1">COUNTIFS(Errorlog_table[AIR],Summary!$A39,Errorlog_table[Year_Week_Number],"&gt;="&amp;$G$3,Errorlog_table[Year_Week_Number],"&lt;="&amp;$D$3,Errorlog_table[System],L$5,Errorlog_table[P_Hits],"Y")</f>
        <v>0</v>
      </c>
      <c r="P39" s="330">
        <f ca="1">COUNTIFS(Errorlog_table[AIR],Summary!$A39,Errorlog_table[Year_Week_Number],"&gt;="&amp;$G$3,Errorlog_table[Year_Week_Number],"&lt;="&amp;$D$3,Errorlog_table[System],M$5,Errorlog_table[P_Hits],"Y")</f>
        <v>0</v>
      </c>
      <c r="Q39" s="324" t="str">
        <f>_xlfn.XLOOKUP(A39,Errorlog_table[AIR],Errorlog_table[Air_issue_description],"not found")</f>
        <v>[Proto2][SCN]  Full drivers init keeps failing on WHAS  DisEntangExt due to  PG-7406 SUB CODE: [[X1:0xFB7CE5A9</v>
      </c>
    </row>
    <row r="40" spans="1:17" hidden="1">
      <c r="A40" s="333" t="str">
        <v>P867917</v>
      </c>
      <c r="B40" s="325" t="str">
        <f>_xlfn.XLOOKUP(A40,Errorlog_table[AIR],Errorlog_table[Root_Error],"NA",0)</f>
        <v>CN-0001</v>
      </c>
      <c r="C40" s="330">
        <f>COUNTIFS(Errorlog_table[AIR],Summary!A40,Errorlog_table[P_Hits],"Y")</f>
        <v>2</v>
      </c>
      <c r="D40" s="330">
        <f>COUNTIFS(Errorlog_table[AIR],Summary!A40,Errorlog_table[U_Hits],"Y")</f>
        <v>2</v>
      </c>
      <c r="E40" s="330"/>
      <c r="F40" s="330">
        <f>_xlfn.MAXIFS(Errorlog_table[Year_Week_Number],Errorlog_table[AIR],A40)</f>
        <v>202520</v>
      </c>
      <c r="G40" s="330"/>
      <c r="H40" s="330">
        <f ca="1">COUNTIFS(Errorlog_table[AIR],Summary!A40,Errorlog_table[Year_Week_Number],"&gt;="&amp;$G$3,Errorlog_table[Year_Week_Number],"&lt;="&amp;$D$3)</f>
        <v>0</v>
      </c>
      <c r="I40" s="330">
        <f ca="1">COUNTIFS(Errorlog_table[AIR],Summary!A40,Errorlog_table[P_Hits],"Y",Errorlog_table[Year_Week_Number],"&gt;="&amp;$G$3,Errorlog_table[Year_Week_Number],"&lt;="&amp;$D$3)</f>
        <v>0</v>
      </c>
      <c r="J40" s="330">
        <f t="shared" ca="1" si="1"/>
        <v>0</v>
      </c>
      <c r="K40" s="330">
        <f ca="1">COUNTIFS(Errorlog_table[AIR],Summary!$A40,Errorlog_table[Year_Week_Number],"&gt;="&amp;$G$3,Errorlog_table[Year_Week_Number],"&lt;="&amp;$D$3,Errorlog_table[System],K$5)</f>
        <v>0</v>
      </c>
      <c r="L40" s="330">
        <f ca="1">COUNTIFS(Errorlog_table[AIR],Summary!$A40,Errorlog_table[Year_Week_Number],"&gt;="&amp;$G$3,Errorlog_table[Year_Week_Number],"&lt;="&amp;$D$3,Errorlog_table[System],L$5)</f>
        <v>0</v>
      </c>
      <c r="M40" s="330">
        <f ca="1">COUNTIFS(Errorlog_table[AIR],Summary!$A40,Errorlog_table[Year_Week_Number],"&gt;="&amp;$G$3,Errorlog_table[Year_Week_Number],"&lt;="&amp;$D$3,Errorlog_table[System],M$5)</f>
        <v>0</v>
      </c>
      <c r="N40" s="330">
        <f ca="1">COUNTIFS(Errorlog_table[AIR],Summary!$A40,Errorlog_table[Year_Week_Number],"&gt;="&amp;$G$3,Errorlog_table[Year_Week_Number],"&lt;="&amp;$D$3,Errorlog_table[System],K$5,Errorlog_table[P_Hits],"Y")</f>
        <v>0</v>
      </c>
      <c r="O40" s="330">
        <f ca="1">COUNTIFS(Errorlog_table[AIR],Summary!$A40,Errorlog_table[Year_Week_Number],"&gt;="&amp;$G$3,Errorlog_table[Year_Week_Number],"&lt;="&amp;$D$3,Errorlog_table[System],L$5,Errorlog_table[P_Hits],"Y")</f>
        <v>0</v>
      </c>
      <c r="P40" s="330">
        <f ca="1">COUNTIFS(Errorlog_table[AIR],Summary!$A40,Errorlog_table[Year_Week_Number],"&gt;="&amp;$G$3,Errorlog_table[Year_Week_Number],"&lt;="&amp;$D$3,Errorlog_table[System],M$5,Errorlog_table[P_Hits],"Y")</f>
        <v>0</v>
      </c>
      <c r="Q40" s="324" t="str">
        <f>_xlfn.XLOOKUP(A40,Errorlog_table[AIR],Errorlog_table[Air_issue_description],"not found")</f>
        <v>Lot abort due to  ULTHIF_DNTR driver memory leak (RCA needed)</v>
      </c>
    </row>
    <row r="41" spans="1:17" hidden="1">
      <c r="A41" s="333" t="str">
        <v>P841602</v>
      </c>
      <c r="B41" s="325" t="str">
        <f>_xlfn.XLOOKUP(A41,Errorlog_table[AIR],Errorlog_table[Root_Error],"NA",0)</f>
        <v>WH-252E</v>
      </c>
      <c r="C41" s="330">
        <f>COUNTIFS(Errorlog_table[AIR],Summary!A41,Errorlog_table[P_Hits],"Y")</f>
        <v>1</v>
      </c>
      <c r="D41" s="330">
        <f>COUNTIFS(Errorlog_table[AIR],Summary!A41,Errorlog_table[U_Hits],"Y")</f>
        <v>1</v>
      </c>
      <c r="E41" s="330"/>
      <c r="F41" s="330">
        <f>_xlfn.MAXIFS(Errorlog_table[Year_Week_Number],Errorlog_table[AIR],A41)</f>
        <v>202511</v>
      </c>
      <c r="G41" s="330"/>
      <c r="H41" s="330">
        <f ca="1">COUNTIFS(Errorlog_table[AIR],Summary!A41,Errorlog_table[Year_Week_Number],"&gt;="&amp;$G$3,Errorlog_table[Year_Week_Number],"&lt;="&amp;$D$3)</f>
        <v>0</v>
      </c>
      <c r="I41" s="330">
        <f ca="1">COUNTIFS(Errorlog_table[AIR],Summary!A41,Errorlog_table[P_Hits],"Y",Errorlog_table[Year_Week_Number],"&gt;="&amp;$G$3,Errorlog_table[Year_Week_Number],"&lt;="&amp;$D$3)</f>
        <v>0</v>
      </c>
      <c r="J41" s="330">
        <f t="shared" ca="1" si="1"/>
        <v>0</v>
      </c>
      <c r="K41" s="330">
        <f ca="1">COUNTIFS(Errorlog_table[AIR],Summary!$A41,Errorlog_table[Year_Week_Number],"&gt;="&amp;$G$3,Errorlog_table[Year_Week_Number],"&lt;="&amp;$D$3,Errorlog_table[System],K$5)</f>
        <v>0</v>
      </c>
      <c r="L41" s="330">
        <f ca="1">COUNTIFS(Errorlog_table[AIR],Summary!$A41,Errorlog_table[Year_Week_Number],"&gt;="&amp;$G$3,Errorlog_table[Year_Week_Number],"&lt;="&amp;$D$3,Errorlog_table[System],L$5)</f>
        <v>0</v>
      </c>
      <c r="M41" s="330">
        <f ca="1">COUNTIFS(Errorlog_table[AIR],Summary!$A41,Errorlog_table[Year_Week_Number],"&gt;="&amp;$G$3,Errorlog_table[Year_Week_Number],"&lt;="&amp;$D$3,Errorlog_table[System],M$5)</f>
        <v>0</v>
      </c>
      <c r="N41" s="330">
        <f ca="1">COUNTIFS(Errorlog_table[AIR],Summary!$A41,Errorlog_table[Year_Week_Number],"&gt;="&amp;$G$3,Errorlog_table[Year_Week_Number],"&lt;="&amp;$D$3,Errorlog_table[System],K$5,Errorlog_table[P_Hits],"Y")</f>
        <v>0</v>
      </c>
      <c r="O41" s="330">
        <f ca="1">COUNTIFS(Errorlog_table[AIR],Summary!$A41,Errorlog_table[Year_Week_Number],"&gt;="&amp;$G$3,Errorlog_table[Year_Week_Number],"&lt;="&amp;$D$3,Errorlog_table[System],L$5,Errorlog_table[P_Hits],"Y")</f>
        <v>0</v>
      </c>
      <c r="P41" s="330">
        <f ca="1">COUNTIFS(Errorlog_table[AIR],Summary!$A41,Errorlog_table[Year_Week_Number],"&gt;="&amp;$G$3,Errorlog_table[Year_Week_Number],"&lt;="&amp;$D$3,Errorlog_table[System],M$5,Errorlog_table[P_Hits],"Y")</f>
        <v>0</v>
      </c>
      <c r="Q41" s="324" t="str">
        <f>_xlfn.XLOOKUP(A41,Errorlog_table[AIR],Errorlog_table[Air_issue_description],"not found")</f>
        <v>mET18_SO52992004_Lot abort by WH-252E</v>
      </c>
    </row>
    <row r="42" spans="1:17" hidden="1">
      <c r="A42" s="333" t="str">
        <v>P835372</v>
      </c>
      <c r="B42" s="325" t="str">
        <f>_xlfn.XLOOKUP(A42,Errorlog_table[AIR],Errorlog_table[Root_Error],"NA",0)</f>
        <v>TN-0054</v>
      </c>
      <c r="C42" s="330">
        <f>COUNTIFS(Errorlog_table[AIR],Summary!A42,Errorlog_table[P_Hits],"Y")</f>
        <v>0</v>
      </c>
      <c r="D42" s="330">
        <f>COUNTIFS(Errorlog_table[AIR],Summary!A42,Errorlog_table[U_Hits],"Y")</f>
        <v>1</v>
      </c>
      <c r="E42" s="330" t="str">
        <f ca="1">IF(COUNTIFS(Errorlog_table[AIR],Summary!A42,Errorlog_table[Year_Week_Number],"="&amp;$G$3,Errorlog_table[Year_Week_Number],"="&amp;$D$3)&gt;0,"X","")</f>
        <v/>
      </c>
      <c r="F42" s="330">
        <f>_xlfn.MAXIFS(Errorlog_table[Year_Week_Number],Errorlog_table[AIR],A42)</f>
        <v>202511</v>
      </c>
      <c r="G42" s="330"/>
      <c r="H42" s="330">
        <f ca="1">COUNTIFS(Errorlog_table[AIR],Summary!A42,Errorlog_table[Year_Week_Number],"&gt;="&amp;$G$3,Errorlog_table[Year_Week_Number],"&lt;="&amp;$D$3)</f>
        <v>0</v>
      </c>
      <c r="I42" s="330">
        <f ca="1">COUNTIFS(Errorlog_table[AIR],Summary!A42,Errorlog_table[P_Hits],"Y",Errorlog_table[Year_Week_Number],"&gt;="&amp;$G$3,Errorlog_table[Year_Week_Number],"&lt;="&amp;$D$3)</f>
        <v>0</v>
      </c>
      <c r="J42" s="330">
        <f t="shared" ca="1" si="1"/>
        <v>0</v>
      </c>
      <c r="K42" s="330">
        <f ca="1">COUNTIFS(Errorlog_table[AIR],Summary!$A42,Errorlog_table[Year_Week_Number],"&gt;="&amp;$G$3,Errorlog_table[Year_Week_Number],"&lt;="&amp;$D$3,Errorlog_table[System],K$5)</f>
        <v>0</v>
      </c>
      <c r="L42" s="330">
        <f ca="1">COUNTIFS(Errorlog_table[AIR],Summary!$A42,Errorlog_table[Year_Week_Number],"&gt;="&amp;$G$3,Errorlog_table[Year_Week_Number],"&lt;="&amp;$D$3,Errorlog_table[System],L$5)</f>
        <v>0</v>
      </c>
      <c r="M42" s="330">
        <f ca="1">COUNTIFS(Errorlog_table[AIR],Summary!$A42,Errorlog_table[Year_Week_Number],"&gt;="&amp;$G$3,Errorlog_table[Year_Week_Number],"&lt;="&amp;$D$3,Errorlog_table[System],M$5)</f>
        <v>0</v>
      </c>
      <c r="N42" s="330">
        <f ca="1">COUNTIFS(Errorlog_table[AIR],Summary!$A42,Errorlog_table[Year_Week_Number],"&gt;="&amp;$G$3,Errorlog_table[Year_Week_Number],"&lt;="&amp;$D$3,Errorlog_table[System],K$5,Errorlog_table[P_Hits],"Y")</f>
        <v>0</v>
      </c>
      <c r="O42" s="330">
        <f ca="1">COUNTIFS(Errorlog_table[AIR],Summary!$A42,Errorlog_table[Year_Week_Number],"&gt;="&amp;$G$3,Errorlog_table[Year_Week_Number],"&lt;="&amp;$D$3,Errorlog_table[System],L$5,Errorlog_table[P_Hits],"Y")</f>
        <v>0</v>
      </c>
      <c r="P42" s="330">
        <f ca="1">COUNTIFS(Errorlog_table[AIR],Summary!$A42,Errorlog_table[Year_Week_Number],"&gt;="&amp;$G$3,Errorlog_table[Year_Week_Number],"&lt;="&amp;$D$3,Errorlog_table[System],M$5,Errorlog_table[P_Hits],"Y")</f>
        <v>0</v>
      </c>
      <c r="Q42" s="324" t="str">
        <f>_xlfn.XLOOKUP(A42,Errorlog_table[AIR],Errorlog_table[Air_issue_description],"not found")</f>
        <v xml:space="preserve">PWEDNE task dying during PWEDNE CPD run </v>
      </c>
    </row>
    <row r="43" spans="1:17" hidden="1">
      <c r="A43" s="333" t="str">
        <v>P834708</v>
      </c>
      <c r="B43" s="325" t="str">
        <f>_xlfn.XLOOKUP(A43,Errorlog_table[AIR],Errorlog_table[Root_Error],"NA",0)</f>
        <v>WX-2508</v>
      </c>
      <c r="C43" s="330">
        <f>COUNTIFS(Errorlog_table[AIR],Summary!A43,Errorlog_table[P_Hits],"Y")</f>
        <v>1</v>
      </c>
      <c r="D43" s="330">
        <f>COUNTIFS(Errorlog_table[AIR],Summary!A43,Errorlog_table[U_Hits],"Y")</f>
        <v>1</v>
      </c>
      <c r="E43" s="330"/>
      <c r="F43" s="330">
        <f>_xlfn.MAXIFS(Errorlog_table[Year_Week_Number],Errorlog_table[AIR],A43)</f>
        <v>202512</v>
      </c>
      <c r="G43" s="330"/>
      <c r="H43" s="330">
        <f ca="1">COUNTIFS(Errorlog_table[AIR],Summary!A43,Errorlog_table[Year_Week_Number],"&gt;="&amp;$G$3,Errorlog_table[Year_Week_Number],"&lt;="&amp;$D$3)</f>
        <v>0</v>
      </c>
      <c r="I43" s="330">
        <f ca="1">COUNTIFS(Errorlog_table[AIR],Summary!A43,Errorlog_table[P_Hits],"Y",Errorlog_table[Year_Week_Number],"&gt;="&amp;$G$3,Errorlog_table[Year_Week_Number],"&lt;="&amp;$D$3)</f>
        <v>0</v>
      </c>
      <c r="J43" s="330">
        <f t="shared" ca="1" si="1"/>
        <v>0</v>
      </c>
      <c r="K43" s="330">
        <f ca="1">COUNTIFS(Errorlog_table[AIR],Summary!$A43,Errorlog_table[Year_Week_Number],"&gt;="&amp;$G$3,Errorlog_table[Year_Week_Number],"&lt;="&amp;$D$3,Errorlog_table[System],K$5)</f>
        <v>0</v>
      </c>
      <c r="L43" s="330">
        <f ca="1">COUNTIFS(Errorlog_table[AIR],Summary!$A43,Errorlog_table[Year_Week_Number],"&gt;="&amp;$G$3,Errorlog_table[Year_Week_Number],"&lt;="&amp;$D$3,Errorlog_table[System],L$5)</f>
        <v>0</v>
      </c>
      <c r="M43" s="330">
        <f ca="1">COUNTIFS(Errorlog_table[AIR],Summary!$A43,Errorlog_table[Year_Week_Number],"&gt;="&amp;$G$3,Errorlog_table[Year_Week_Number],"&lt;="&amp;$D$3,Errorlog_table[System],M$5)</f>
        <v>0</v>
      </c>
      <c r="N43" s="330">
        <f ca="1">COUNTIFS(Errorlog_table[AIR],Summary!$A43,Errorlog_table[Year_Week_Number],"&gt;="&amp;$G$3,Errorlog_table[Year_Week_Number],"&lt;="&amp;$D$3,Errorlog_table[System],K$5,Errorlog_table[P_Hits],"Y")</f>
        <v>0</v>
      </c>
      <c r="O43" s="330">
        <f ca="1">COUNTIFS(Errorlog_table[AIR],Summary!$A43,Errorlog_table[Year_Week_Number],"&gt;="&amp;$G$3,Errorlog_table[Year_Week_Number],"&lt;="&amp;$D$3,Errorlog_table[System],L$5,Errorlog_table[P_Hits],"Y")</f>
        <v>0</v>
      </c>
      <c r="P43" s="330">
        <f ca="1">COUNTIFS(Errorlog_table[AIR],Summary!$A43,Errorlog_table[Year_Week_Number],"&gt;="&amp;$G$3,Errorlog_table[Year_Week_Number],"&lt;="&amp;$D$3,Errorlog_table[System],M$5,Errorlog_table[P_Hits],"Y")</f>
        <v>0</v>
      </c>
      <c r="Q43" s="324" t="str">
        <f>_xlfn.XLOOKUP(A43,Errorlog_table[AIR],Errorlog_table[Air_issue_description],"not found")</f>
        <v>Tracking - Lot Aborted by WE-0406 WH SUR HIPA error</v>
      </c>
    </row>
    <row r="44" spans="1:17" hidden="1">
      <c r="A44" s="333" t="str">
        <v>P870861</v>
      </c>
      <c r="B44" s="325" t="str">
        <f>_xlfn.XLOOKUP(A44,Errorlog_table[AIR],Errorlog_table[Root_Error],"NA",0)</f>
        <v>PG-7406</v>
      </c>
      <c r="C44" s="330">
        <f>COUNTIFS(Errorlog_table[AIR],Summary!A44,Errorlog_table[P_Hits],"Y")</f>
        <v>2</v>
      </c>
      <c r="D44" s="330">
        <f>COUNTIFS(Errorlog_table[AIR],Summary!A44,Errorlog_table[U_Hits],"Y")</f>
        <v>3</v>
      </c>
      <c r="E44" s="330"/>
      <c r="F44" s="330">
        <f>_xlfn.MAXIFS(Errorlog_table[Year_Week_Number],Errorlog_table[AIR],A44)</f>
        <v>202524</v>
      </c>
      <c r="G44" s="330"/>
      <c r="H44" s="330">
        <f ca="1">COUNTIFS(Errorlog_table[AIR],Summary!A44,Errorlog_table[Year_Week_Number],"&gt;="&amp;$G$3,Errorlog_table[Year_Week_Number],"&lt;="&amp;$D$3)</f>
        <v>1</v>
      </c>
      <c r="I44" s="330">
        <f ca="1">COUNTIFS(Errorlog_table[AIR],Summary!A44,Errorlog_table[P_Hits],"Y",Errorlog_table[Year_Week_Number],"&gt;="&amp;$G$3,Errorlog_table[Year_Week_Number],"&lt;="&amp;$D$3)</f>
        <v>1</v>
      </c>
      <c r="J44" s="330">
        <f t="shared" ca="1" si="1"/>
        <v>1</v>
      </c>
      <c r="K44" s="330">
        <f ca="1">COUNTIFS(Errorlog_table[AIR],Summary!$A44,Errorlog_table[Year_Week_Number],"&gt;="&amp;$G$3,Errorlog_table[Year_Week_Number],"&lt;="&amp;$D$3,Errorlog_table[System],K$5)</f>
        <v>1</v>
      </c>
      <c r="L44" s="330">
        <f ca="1">COUNTIFS(Errorlog_table[AIR],Summary!$A44,Errorlog_table[Year_Week_Number],"&gt;="&amp;$G$3,Errorlog_table[Year_Week_Number],"&lt;="&amp;$D$3,Errorlog_table[System],L$5)</f>
        <v>0</v>
      </c>
      <c r="M44" s="330">
        <f ca="1">COUNTIFS(Errorlog_table[AIR],Summary!$A44,Errorlog_table[Year_Week_Number],"&gt;="&amp;$G$3,Errorlog_table[Year_Week_Number],"&lt;="&amp;$D$3,Errorlog_table[System],M$5)</f>
        <v>0</v>
      </c>
      <c r="N44" s="330">
        <f ca="1">COUNTIFS(Errorlog_table[AIR],Summary!$A44,Errorlog_table[Year_Week_Number],"&gt;="&amp;$G$3,Errorlog_table[Year_Week_Number],"&lt;="&amp;$D$3,Errorlog_table[System],K$5,Errorlog_table[P_Hits],"Y")</f>
        <v>1</v>
      </c>
      <c r="O44" s="330">
        <f ca="1">COUNTIFS(Errorlog_table[AIR],Summary!$A44,Errorlog_table[Year_Week_Number],"&gt;="&amp;$G$3,Errorlog_table[Year_Week_Number],"&lt;="&amp;$D$3,Errorlog_table[System],L$5,Errorlog_table[P_Hits],"Y")</f>
        <v>0</v>
      </c>
      <c r="P44" s="330">
        <f ca="1">COUNTIFS(Errorlog_table[AIR],Summary!$A44,Errorlog_table[Year_Week_Number],"&gt;="&amp;$G$3,Errorlog_table[Year_Week_Number],"&lt;="&amp;$D$3,Errorlog_table[System],M$5,Errorlog_table[P_Hits],"Y")</f>
        <v>0</v>
      </c>
      <c r="Q44" s="324" t="str">
        <f>_xlfn.XLOOKUP(A44,Errorlog_table[AIR],Errorlog_table[Air_issue_description],"not found")</f>
        <v>MMDC for X mutual crash protection can give false positive trips after MRE2OC calibration</v>
      </c>
    </row>
    <row r="45" spans="1:17" hidden="1">
      <c r="A45" s="333" t="str">
        <v>P871028</v>
      </c>
      <c r="B45" s="325" t="str">
        <f>_xlfn.XLOOKUP(A45,Errorlog_table[AIR],Errorlog_table[Root_Error],"NA",0)</f>
        <v xml:space="preserve">WXP-021 </v>
      </c>
      <c r="C45" s="330">
        <f>COUNTIFS(Errorlog_table[AIR],Summary!A45,Errorlog_table[P_Hits],"Y")</f>
        <v>1</v>
      </c>
      <c r="D45" s="330">
        <f>COUNTIFS(Errorlog_table[AIR],Summary!A45,Errorlog_table[U_Hits],"Y")</f>
        <v>1</v>
      </c>
      <c r="E45" s="330"/>
      <c r="F45" s="330">
        <f>_xlfn.MAXIFS(Errorlog_table[Year_Week_Number],Errorlog_table[AIR],A45)</f>
        <v>202513</v>
      </c>
      <c r="G45" s="330"/>
      <c r="H45" s="330">
        <f ca="1">COUNTIFS(Errorlog_table[AIR],Summary!A45,Errorlog_table[Year_Week_Number],"&gt;="&amp;$G$3,Errorlog_table[Year_Week_Number],"&lt;="&amp;$D$3)</f>
        <v>0</v>
      </c>
      <c r="I45" s="330">
        <f ca="1">COUNTIFS(Errorlog_table[AIR],Summary!A45,Errorlog_table[P_Hits],"Y",Errorlog_table[Year_Week_Number],"&gt;="&amp;$G$3,Errorlog_table[Year_Week_Number],"&lt;="&amp;$D$3)</f>
        <v>0</v>
      </c>
      <c r="J45" s="330">
        <f t="shared" ca="1" si="1"/>
        <v>0</v>
      </c>
      <c r="K45" s="330">
        <f ca="1">COUNTIFS(Errorlog_table[AIR],Summary!$A45,Errorlog_table[Year_Week_Number],"&gt;="&amp;$G$3,Errorlog_table[Year_Week_Number],"&lt;="&amp;$D$3,Errorlog_table[System],K$5)</f>
        <v>0</v>
      </c>
      <c r="L45" s="330">
        <f ca="1">COUNTIFS(Errorlog_table[AIR],Summary!$A45,Errorlog_table[Year_Week_Number],"&gt;="&amp;$G$3,Errorlog_table[Year_Week_Number],"&lt;="&amp;$D$3,Errorlog_table[System],L$5)</f>
        <v>0</v>
      </c>
      <c r="M45" s="330">
        <f ca="1">COUNTIFS(Errorlog_table[AIR],Summary!$A45,Errorlog_table[Year_Week_Number],"&gt;="&amp;$G$3,Errorlog_table[Year_Week_Number],"&lt;="&amp;$D$3,Errorlog_table[System],M$5)</f>
        <v>0</v>
      </c>
      <c r="N45" s="330">
        <f ca="1">COUNTIFS(Errorlog_table[AIR],Summary!$A45,Errorlog_table[Year_Week_Number],"&gt;="&amp;$G$3,Errorlog_table[Year_Week_Number],"&lt;="&amp;$D$3,Errorlog_table[System],K$5,Errorlog_table[P_Hits],"Y")</f>
        <v>0</v>
      </c>
      <c r="O45" s="330">
        <f ca="1">COUNTIFS(Errorlog_table[AIR],Summary!$A45,Errorlog_table[Year_Week_Number],"&gt;="&amp;$G$3,Errorlog_table[Year_Week_Number],"&lt;="&amp;$D$3,Errorlog_table[System],L$5,Errorlog_table[P_Hits],"Y")</f>
        <v>0</v>
      </c>
      <c r="P45" s="330">
        <f ca="1">COUNTIFS(Errorlog_table[AIR],Summary!$A45,Errorlog_table[Year_Week_Number],"&gt;="&amp;$G$3,Errorlog_table[Year_Week_Number],"&lt;="&amp;$D$3,Errorlog_table[System],M$5,Errorlog_table[P_Hits],"Y")</f>
        <v>0</v>
      </c>
      <c r="Q45" s="324" t="str">
        <f>_xlfn.XLOOKUP(A45,Errorlog_table[AIR],Errorlog_table[Air_issue_description],"not found")</f>
        <v>GY86: Lot abort caused by PCW Temp Sensor! (41R2 +41R1)</v>
      </c>
    </row>
    <row r="46" spans="1:17" hidden="1">
      <c r="A46" s="333" t="str">
        <v>P820514</v>
      </c>
      <c r="B46" s="325" t="str">
        <f>_xlfn.XLOOKUP(A46,Errorlog_table[AIR],Errorlog_table[Root_Error],"NA",0)</f>
        <v>PX-B6FC</v>
      </c>
      <c r="C46" s="330">
        <f>COUNTIFS(Errorlog_table[AIR],Summary!A46,Errorlog_table[P_Hits],"Y")</f>
        <v>3</v>
      </c>
      <c r="D46" s="330">
        <f>COUNTIFS(Errorlog_table[AIR],Summary!A46,Errorlog_table[U_Hits],"Y")</f>
        <v>3</v>
      </c>
      <c r="E46" s="330" t="str">
        <f ca="1">IF(COUNTIFS(Errorlog_table[AIR],Summary!A46,Errorlog_table[Year_Week_Number],"="&amp;$G$3,Errorlog_table[Year_Week_Number],"="&amp;$D$3)&gt;0,"X","")</f>
        <v/>
      </c>
      <c r="F46" s="330">
        <f>_xlfn.MAXIFS(Errorlog_table[Year_Week_Number],Errorlog_table[AIR],A46)</f>
        <v>202527</v>
      </c>
      <c r="G46" s="330"/>
      <c r="H46" s="330">
        <f ca="1">COUNTIFS(Errorlog_table[AIR],Summary!A46,Errorlog_table[Year_Week_Number],"&gt;="&amp;$G$3,Errorlog_table[Year_Week_Number],"&lt;="&amp;$D$3)</f>
        <v>1</v>
      </c>
      <c r="I46" s="330">
        <f ca="1">COUNTIFS(Errorlog_table[AIR],Summary!A46,Errorlog_table[P_Hits],"Y",Errorlog_table[Year_Week_Number],"&gt;="&amp;$G$3,Errorlog_table[Year_Week_Number],"&lt;="&amp;$D$3)</f>
        <v>1</v>
      </c>
      <c r="J46" s="330">
        <f t="shared" ca="1" si="1"/>
        <v>1</v>
      </c>
      <c r="K46" s="330">
        <f ca="1">COUNTIFS(Errorlog_table[AIR],Summary!$A46,Errorlog_table[Year_Week_Number],"&gt;="&amp;$G$3,Errorlog_table[Year_Week_Number],"&lt;="&amp;$D$3,Errorlog_table[System],K$5)</f>
        <v>1</v>
      </c>
      <c r="L46" s="330">
        <f ca="1">COUNTIFS(Errorlog_table[AIR],Summary!$A46,Errorlog_table[Year_Week_Number],"&gt;="&amp;$G$3,Errorlog_table[Year_Week_Number],"&lt;="&amp;$D$3,Errorlog_table[System],L$5)</f>
        <v>0</v>
      </c>
      <c r="M46" s="330">
        <f ca="1">COUNTIFS(Errorlog_table[AIR],Summary!$A46,Errorlog_table[Year_Week_Number],"&gt;="&amp;$G$3,Errorlog_table[Year_Week_Number],"&lt;="&amp;$D$3,Errorlog_table[System],M$5)</f>
        <v>0</v>
      </c>
      <c r="N46" s="330">
        <f ca="1">COUNTIFS(Errorlog_table[AIR],Summary!$A46,Errorlog_table[Year_Week_Number],"&gt;="&amp;$G$3,Errorlog_table[Year_Week_Number],"&lt;="&amp;$D$3,Errorlog_table[System],K$5,Errorlog_table[P_Hits],"Y")</f>
        <v>1</v>
      </c>
      <c r="O46" s="330">
        <f ca="1">COUNTIFS(Errorlog_table[AIR],Summary!$A46,Errorlog_table[Year_Week_Number],"&gt;="&amp;$G$3,Errorlog_table[Year_Week_Number],"&lt;="&amp;$D$3,Errorlog_table[System],L$5,Errorlog_table[P_Hits],"Y")</f>
        <v>0</v>
      </c>
      <c r="P46" s="330">
        <f ca="1">COUNTIFS(Errorlog_table[AIR],Summary!$A46,Errorlog_table[Year_Week_Number],"&gt;="&amp;$G$3,Errorlog_table[Year_Week_Number],"&lt;="&amp;$D$3,Errorlog_table[System],M$5,Errorlog_table[P_Hits],"Y")</f>
        <v>0</v>
      </c>
      <c r="Q46" s="324" t="str">
        <f>_xlfn.XLOOKUP(A46,Errorlog_table[AIR],Errorlog_table[Air_issue_description],"not found")</f>
        <v>[GY86] PX-B6FC Laser amplifier error: HILA Response communication error detected.</v>
      </c>
    </row>
    <row r="47" spans="1:17" hidden="1">
      <c r="A47" s="333" t="str">
        <v>P873253</v>
      </c>
      <c r="B47" s="325" t="str">
        <f>_xlfn.XLOOKUP(A47,Errorlog_table[AIR],Errorlog_table[Root_Error],"NA",0)</f>
        <v>RU-2B1D</v>
      </c>
      <c r="C47" s="330">
        <f>COUNTIFS(Errorlog_table[AIR],Summary!A47,Errorlog_table[P_Hits],"Y")</f>
        <v>1</v>
      </c>
      <c r="D47" s="330">
        <f>COUNTIFS(Errorlog_table[AIR],Summary!A47,Errorlog_table[U_Hits],"Y")</f>
        <v>1</v>
      </c>
      <c r="E47" s="330" t="str">
        <f ca="1">IF(COUNTIFS(Errorlog_table[AIR],Summary!A47,Errorlog_table[Year_Week_Number],"="&amp;$G$3,Errorlog_table[Year_Week_Number],"="&amp;$D$3)&gt;0,"X","")</f>
        <v/>
      </c>
      <c r="F47" s="330">
        <f>_xlfn.MAXIFS(Errorlog_table[Year_Week_Number],Errorlog_table[AIR],A47)</f>
        <v>202513</v>
      </c>
      <c r="G47" s="330"/>
      <c r="H47" s="330">
        <f ca="1">COUNTIFS(Errorlog_table[AIR],Summary!A47,Errorlog_table[Year_Week_Number],"&gt;="&amp;$G$3,Errorlog_table[Year_Week_Number],"&lt;="&amp;$D$3)</f>
        <v>0</v>
      </c>
      <c r="I47" s="330">
        <f ca="1">COUNTIFS(Errorlog_table[AIR],Summary!A47,Errorlog_table[P_Hits],"Y",Errorlog_table[Year_Week_Number],"&gt;="&amp;$G$3,Errorlog_table[Year_Week_Number],"&lt;="&amp;$D$3)</f>
        <v>0</v>
      </c>
      <c r="J47" s="330">
        <f t="shared" ca="1" si="1"/>
        <v>0</v>
      </c>
      <c r="K47" s="330">
        <f ca="1">COUNTIFS(Errorlog_table[AIR],Summary!$A47,Errorlog_table[Year_Week_Number],"&gt;="&amp;$G$3,Errorlog_table[Year_Week_Number],"&lt;="&amp;$D$3,Errorlog_table[System],K$5)</f>
        <v>0</v>
      </c>
      <c r="L47" s="330">
        <f ca="1">COUNTIFS(Errorlog_table[AIR],Summary!$A47,Errorlog_table[Year_Week_Number],"&gt;="&amp;$G$3,Errorlog_table[Year_Week_Number],"&lt;="&amp;$D$3,Errorlog_table[System],L$5)</f>
        <v>0</v>
      </c>
      <c r="M47" s="330">
        <f ca="1">COUNTIFS(Errorlog_table[AIR],Summary!$A47,Errorlog_table[Year_Week_Number],"&gt;="&amp;$G$3,Errorlog_table[Year_Week_Number],"&lt;="&amp;$D$3,Errorlog_table[System],M$5)</f>
        <v>0</v>
      </c>
      <c r="N47" s="330">
        <f ca="1">COUNTIFS(Errorlog_table[AIR],Summary!$A47,Errorlog_table[Year_Week_Number],"&gt;="&amp;$G$3,Errorlog_table[Year_Week_Number],"&lt;="&amp;$D$3,Errorlog_table[System],K$5,Errorlog_table[P_Hits],"Y")</f>
        <v>0</v>
      </c>
      <c r="O47" s="330">
        <f ca="1">COUNTIFS(Errorlog_table[AIR],Summary!$A47,Errorlog_table[Year_Week_Number],"&gt;="&amp;$G$3,Errorlog_table[Year_Week_Number],"&lt;="&amp;$D$3,Errorlog_table[System],L$5,Errorlog_table[P_Hits],"Y")</f>
        <v>0</v>
      </c>
      <c r="P47" s="330">
        <f ca="1">COUNTIFS(Errorlog_table[AIR],Summary!$A47,Errorlog_table[Year_Week_Number],"&gt;="&amp;$G$3,Errorlog_table[Year_Week_Number],"&lt;="&amp;$D$3,Errorlog_table[System],M$5,Errorlog_table[P_Hits],"Y")</f>
        <v>0</v>
      </c>
      <c r="Q47" s="324" t="str">
        <f>_xlfn.XLOOKUP(A47,Errorlog_table[AIR],Errorlog_table[Air_issue_description],"not found")</f>
        <v>EpmID:115133| SCN - Lot Abort for RED MMDC | RU-2B1D | PG-6208</v>
      </c>
    </row>
    <row r="48" spans="1:17" hidden="1">
      <c r="A48" s="333" t="str">
        <v>P872290</v>
      </c>
      <c r="B48" s="325" t="str">
        <f>_xlfn.XLOOKUP(A48,Errorlog_table[AIR],Errorlog_table[Root_Error],"NA",0)</f>
        <v>WP-2C1D</v>
      </c>
      <c r="C48" s="330">
        <f>COUNTIFS(Errorlog_table[AIR],Summary!A48,Errorlog_table[P_Hits],"Y")</f>
        <v>1</v>
      </c>
      <c r="D48" s="330">
        <f>COUNTIFS(Errorlog_table[AIR],Summary!A48,Errorlog_table[U_Hits],"Y")</f>
        <v>1</v>
      </c>
      <c r="E48" s="330"/>
      <c r="F48" s="330">
        <f>_xlfn.MAXIFS(Errorlog_table[Year_Week_Number],Errorlog_table[AIR],A48)</f>
        <v>202514</v>
      </c>
      <c r="G48" s="330"/>
      <c r="H48" s="330">
        <f ca="1">COUNTIFS(Errorlog_table[AIR],Summary!A48,Errorlog_table[Year_Week_Number],"&gt;="&amp;$G$3,Errorlog_table[Year_Week_Number],"&lt;="&amp;$D$3)</f>
        <v>0</v>
      </c>
      <c r="I48" s="330">
        <f ca="1">COUNTIFS(Errorlog_table[AIR],Summary!A48,Errorlog_table[P_Hits],"Y",Errorlog_table[Year_Week_Number],"&gt;="&amp;$G$3,Errorlog_table[Year_Week_Number],"&lt;="&amp;$D$3)</f>
        <v>0</v>
      </c>
      <c r="J48" s="330">
        <f t="shared" ca="1" si="1"/>
        <v>0</v>
      </c>
      <c r="K48" s="330">
        <f ca="1">COUNTIFS(Errorlog_table[AIR],Summary!$A48,Errorlog_table[Year_Week_Number],"&gt;="&amp;$G$3,Errorlog_table[Year_Week_Number],"&lt;="&amp;$D$3,Errorlog_table[System],K$5)</f>
        <v>0</v>
      </c>
      <c r="L48" s="330">
        <f ca="1">COUNTIFS(Errorlog_table[AIR],Summary!$A48,Errorlog_table[Year_Week_Number],"&gt;="&amp;$G$3,Errorlog_table[Year_Week_Number],"&lt;="&amp;$D$3,Errorlog_table[System],L$5)</f>
        <v>0</v>
      </c>
      <c r="M48" s="330">
        <f ca="1">COUNTIFS(Errorlog_table[AIR],Summary!$A48,Errorlog_table[Year_Week_Number],"&gt;="&amp;$G$3,Errorlog_table[Year_Week_Number],"&lt;="&amp;$D$3,Errorlog_table[System],M$5)</f>
        <v>0</v>
      </c>
      <c r="N48" s="330">
        <f ca="1">COUNTIFS(Errorlog_table[AIR],Summary!$A48,Errorlog_table[Year_Week_Number],"&gt;="&amp;$G$3,Errorlog_table[Year_Week_Number],"&lt;="&amp;$D$3,Errorlog_table[System],K$5,Errorlog_table[P_Hits],"Y")</f>
        <v>0</v>
      </c>
      <c r="O48" s="330">
        <f ca="1">COUNTIFS(Errorlog_table[AIR],Summary!$A48,Errorlog_table[Year_Week_Number],"&gt;="&amp;$G$3,Errorlog_table[Year_Week_Number],"&lt;="&amp;$D$3,Errorlog_table[System],L$5,Errorlog_table[P_Hits],"Y")</f>
        <v>0</v>
      </c>
      <c r="P48" s="330">
        <f ca="1">COUNTIFS(Errorlog_table[AIR],Summary!$A48,Errorlog_table[Year_Week_Number],"&gt;="&amp;$G$3,Errorlog_table[Year_Week_Number],"&lt;="&amp;$D$3,Errorlog_table[System],M$5,Errorlog_table[P_Hits],"Y")</f>
        <v>0</v>
      </c>
      <c r="Q48" s="324" t="str">
        <f>_xlfn.XLOOKUP(A48,Errorlog_table[AIR],Errorlog_table[Air_issue_description],"not found")</f>
        <v>[EXE] [CR51] WP-2C1D HIPA internal 12V low error</v>
      </c>
    </row>
    <row r="49" spans="1:17" hidden="1">
      <c r="A49" s="333" t="str">
        <v>P872439</v>
      </c>
      <c r="B49" s="325" t="str">
        <f>_xlfn.XLOOKUP(A49,Errorlog_table[AIR],Errorlog_table[Root_Error],"NA",0)</f>
        <v>KU-5113</v>
      </c>
      <c r="C49" s="330">
        <f>COUNTIFS(Errorlog_table[AIR],Summary!A49,Errorlog_table[P_Hits],"Y")</f>
        <v>4</v>
      </c>
      <c r="D49" s="330">
        <f>COUNTIFS(Errorlog_table[AIR],Summary!A49,Errorlog_table[U_Hits],"Y")</f>
        <v>4</v>
      </c>
      <c r="E49" s="330"/>
      <c r="F49" s="330">
        <f>_xlfn.MAXIFS(Errorlog_table[Year_Week_Number],Errorlog_table[AIR],A49)</f>
        <v>202515</v>
      </c>
      <c r="G49" s="330"/>
      <c r="H49" s="330">
        <f ca="1">COUNTIFS(Errorlog_table[AIR],Summary!A49,Errorlog_table[Year_Week_Number],"&gt;="&amp;$G$3,Errorlog_table[Year_Week_Number],"&lt;="&amp;$D$3)</f>
        <v>0</v>
      </c>
      <c r="I49" s="330">
        <f ca="1">COUNTIFS(Errorlog_table[AIR],Summary!A49,Errorlog_table[P_Hits],"Y",Errorlog_table[Year_Week_Number],"&gt;="&amp;$G$3,Errorlog_table[Year_Week_Number],"&lt;="&amp;$D$3)</f>
        <v>0</v>
      </c>
      <c r="J49" s="330">
        <f t="shared" ca="1" si="1"/>
        <v>0</v>
      </c>
      <c r="K49" s="330">
        <f ca="1">COUNTIFS(Errorlog_table[AIR],Summary!$A49,Errorlog_table[Year_Week_Number],"&gt;="&amp;$G$3,Errorlog_table[Year_Week_Number],"&lt;="&amp;$D$3,Errorlog_table[System],K$5)</f>
        <v>0</v>
      </c>
      <c r="L49" s="330">
        <f ca="1">COUNTIFS(Errorlog_table[AIR],Summary!$A49,Errorlog_table[Year_Week_Number],"&gt;="&amp;$G$3,Errorlog_table[Year_Week_Number],"&lt;="&amp;$D$3,Errorlog_table[System],L$5)</f>
        <v>0</v>
      </c>
      <c r="M49" s="330">
        <f ca="1">COUNTIFS(Errorlog_table[AIR],Summary!$A49,Errorlog_table[Year_Week_Number],"&gt;="&amp;$G$3,Errorlog_table[Year_Week_Number],"&lt;="&amp;$D$3,Errorlog_table[System],M$5)</f>
        <v>0</v>
      </c>
      <c r="N49" s="330">
        <f ca="1">COUNTIFS(Errorlog_table[AIR],Summary!$A49,Errorlog_table[Year_Week_Number],"&gt;="&amp;$G$3,Errorlog_table[Year_Week_Number],"&lt;="&amp;$D$3,Errorlog_table[System],K$5,Errorlog_table[P_Hits],"Y")</f>
        <v>0</v>
      </c>
      <c r="O49" s="330">
        <f ca="1">COUNTIFS(Errorlog_table[AIR],Summary!$A49,Errorlog_table[Year_Week_Number],"&gt;="&amp;$G$3,Errorlog_table[Year_Week_Number],"&lt;="&amp;$D$3,Errorlog_table[System],L$5,Errorlog_table[P_Hits],"Y")</f>
        <v>0</v>
      </c>
      <c r="P49" s="330">
        <f ca="1">COUNTIFS(Errorlog_table[AIR],Summary!$A49,Errorlog_table[Year_Week_Number],"&gt;="&amp;$G$3,Errorlog_table[Year_Week_Number],"&lt;="&amp;$D$3,Errorlog_table[System],M$5,Errorlog_table[P_Hits],"Y")</f>
        <v>0</v>
      </c>
      <c r="Q49" s="324" t="str">
        <f>_xlfn.XLOOKUP(A49,Errorlog_table[AIR],Errorlog_table[Air_issue_description],"not found")</f>
        <v>SP21 changed wafer reject behavior to a lot abort behavior KU-5113 ==&gt; RR-1110</v>
      </c>
    </row>
    <row r="50" spans="1:17" hidden="1">
      <c r="A50" s="333" t="str">
        <v>P860104</v>
      </c>
      <c r="B50" s="325" t="str">
        <f>_xlfn.XLOOKUP(A50,Errorlog_table[AIR],Errorlog_table[Root_Error],"NA",0)</f>
        <v>KN-0605</v>
      </c>
      <c r="C50" s="330">
        <f>COUNTIFS(Errorlog_table[AIR],Summary!A50,Errorlog_table[P_Hits],"Y")</f>
        <v>3</v>
      </c>
      <c r="D50" s="330">
        <f>COUNTIFS(Errorlog_table[AIR],Summary!A50,Errorlog_table[U_Hits],"Y")</f>
        <v>3</v>
      </c>
      <c r="E50" s="330"/>
      <c r="F50" s="330">
        <f>_xlfn.MAXIFS(Errorlog_table[Year_Week_Number],Errorlog_table[AIR],A50)</f>
        <v>202515</v>
      </c>
      <c r="G50" s="330"/>
      <c r="H50" s="330">
        <f ca="1">COUNTIFS(Errorlog_table[AIR],Summary!A50,Errorlog_table[Year_Week_Number],"&gt;="&amp;$G$3,Errorlog_table[Year_Week_Number],"&lt;="&amp;$D$3)</f>
        <v>0</v>
      </c>
      <c r="I50" s="330">
        <f ca="1">COUNTIFS(Errorlog_table[AIR],Summary!A50,Errorlog_table[P_Hits],"Y",Errorlog_table[Year_Week_Number],"&gt;="&amp;$G$3,Errorlog_table[Year_Week_Number],"&lt;="&amp;$D$3)</f>
        <v>0</v>
      </c>
      <c r="J50" s="330">
        <f t="shared" ca="1" si="1"/>
        <v>0</v>
      </c>
      <c r="K50" s="330">
        <f ca="1">COUNTIFS(Errorlog_table[AIR],Summary!$A50,Errorlog_table[Year_Week_Number],"&gt;="&amp;$G$3,Errorlog_table[Year_Week_Number],"&lt;="&amp;$D$3,Errorlog_table[System],K$5)</f>
        <v>0</v>
      </c>
      <c r="L50" s="330">
        <f ca="1">COUNTIFS(Errorlog_table[AIR],Summary!$A50,Errorlog_table[Year_Week_Number],"&gt;="&amp;$G$3,Errorlog_table[Year_Week_Number],"&lt;="&amp;$D$3,Errorlog_table[System],L$5)</f>
        <v>0</v>
      </c>
      <c r="M50" s="330">
        <f ca="1">COUNTIFS(Errorlog_table[AIR],Summary!$A50,Errorlog_table[Year_Week_Number],"&gt;="&amp;$G$3,Errorlog_table[Year_Week_Number],"&lt;="&amp;$D$3,Errorlog_table[System],M$5)</f>
        <v>0</v>
      </c>
      <c r="N50" s="330">
        <f ca="1">COUNTIFS(Errorlog_table[AIR],Summary!$A50,Errorlog_table[Year_Week_Number],"&gt;="&amp;$G$3,Errorlog_table[Year_Week_Number],"&lt;="&amp;$D$3,Errorlog_table[System],K$5,Errorlog_table[P_Hits],"Y")</f>
        <v>0</v>
      </c>
      <c r="O50" s="330">
        <f ca="1">COUNTIFS(Errorlog_table[AIR],Summary!$A50,Errorlog_table[Year_Week_Number],"&gt;="&amp;$G$3,Errorlog_table[Year_Week_Number],"&lt;="&amp;$D$3,Errorlog_table[System],L$5,Errorlog_table[P_Hits],"Y")</f>
        <v>0</v>
      </c>
      <c r="P50" s="330">
        <f ca="1">COUNTIFS(Errorlog_table[AIR],Summary!$A50,Errorlog_table[Year_Week_Number],"&gt;="&amp;$G$3,Errorlog_table[Year_Week_Number],"&lt;="&amp;$D$3,Errorlog_table[System],M$5,Errorlog_table[P_Hits],"Y")</f>
        <v>0</v>
      </c>
      <c r="Q50" s="324" t="str">
        <f>_xlfn.XLOOKUP(A50,Errorlog_table[AIR],Errorlog_table[Air_issue_description],"not found")</f>
        <v>[exe5000] KN-0605 scan predictor error causing lot aborts: KXTRMI improvement</v>
      </c>
    </row>
    <row r="51" spans="1:17" hidden="1">
      <c r="A51" s="333" t="str">
        <v>P869352</v>
      </c>
      <c r="B51" s="325" t="str">
        <f>_xlfn.XLOOKUP(A51,Errorlog_table[AIR],Errorlog_table[Root_Error],"NA",0)</f>
        <v>RH-C1D0</v>
      </c>
      <c r="C51" s="330">
        <f>COUNTIFS(Errorlog_table[AIR],Summary!A51,Errorlog_table[P_Hits],"Y")</f>
        <v>0</v>
      </c>
      <c r="D51" s="330">
        <f>COUNTIFS(Errorlog_table[AIR],Summary!A51,Errorlog_table[U_Hits],"Y")</f>
        <v>1</v>
      </c>
      <c r="E51" s="330" t="str">
        <f ca="1">IF(COUNTIFS(Errorlog_table[AIR],Summary!A51,Errorlog_table[Year_Week_Number],"="&amp;$G$3,Errorlog_table[Year_Week_Number],"="&amp;$D$3)&gt;0,"X","")</f>
        <v/>
      </c>
      <c r="F51" s="330">
        <f>_xlfn.MAXIFS(Errorlog_table[Year_Week_Number],Errorlog_table[AIR],A51)</f>
        <v>202515</v>
      </c>
      <c r="G51" s="330"/>
      <c r="H51" s="330">
        <f ca="1">COUNTIFS(Errorlog_table[AIR],Summary!A51,Errorlog_table[Year_Week_Number],"&gt;="&amp;$G$3,Errorlog_table[Year_Week_Number],"&lt;="&amp;$D$3)</f>
        <v>0</v>
      </c>
      <c r="I51" s="330">
        <f ca="1">COUNTIFS(Errorlog_table[AIR],Summary!A51,Errorlog_table[P_Hits],"Y",Errorlog_table[Year_Week_Number],"&gt;="&amp;$G$3,Errorlog_table[Year_Week_Number],"&lt;="&amp;$D$3)</f>
        <v>0</v>
      </c>
      <c r="J51" s="330">
        <f t="shared" ca="1" si="1"/>
        <v>0</v>
      </c>
      <c r="K51" s="330">
        <f ca="1">COUNTIFS(Errorlog_table[AIR],Summary!$A51,Errorlog_table[Year_Week_Number],"&gt;="&amp;$G$3,Errorlog_table[Year_Week_Number],"&lt;="&amp;$D$3,Errorlog_table[System],K$5)</f>
        <v>0</v>
      </c>
      <c r="L51" s="330">
        <f ca="1">COUNTIFS(Errorlog_table[AIR],Summary!$A51,Errorlog_table[Year_Week_Number],"&gt;="&amp;$G$3,Errorlog_table[Year_Week_Number],"&lt;="&amp;$D$3,Errorlog_table[System],L$5)</f>
        <v>0</v>
      </c>
      <c r="M51" s="330">
        <f ca="1">COUNTIFS(Errorlog_table[AIR],Summary!$A51,Errorlog_table[Year_Week_Number],"&gt;="&amp;$G$3,Errorlog_table[Year_Week_Number],"&lt;="&amp;$D$3,Errorlog_table[System],M$5)</f>
        <v>0</v>
      </c>
      <c r="N51" s="330">
        <f ca="1">COUNTIFS(Errorlog_table[AIR],Summary!$A51,Errorlog_table[Year_Week_Number],"&gt;="&amp;$G$3,Errorlog_table[Year_Week_Number],"&lt;="&amp;$D$3,Errorlog_table[System],K$5,Errorlog_table[P_Hits],"Y")</f>
        <v>0</v>
      </c>
      <c r="O51" s="330">
        <f ca="1">COUNTIFS(Errorlog_table[AIR],Summary!$A51,Errorlog_table[Year_Week_Number],"&gt;="&amp;$G$3,Errorlog_table[Year_Week_Number],"&lt;="&amp;$D$3,Errorlog_table[System],L$5,Errorlog_table[P_Hits],"Y")</f>
        <v>0</v>
      </c>
      <c r="P51" s="330">
        <f ca="1">COUNTIFS(Errorlog_table[AIR],Summary!$A51,Errorlog_table[Year_Week_Number],"&gt;="&amp;$G$3,Errorlog_table[Year_Week_Number],"&lt;="&amp;$D$3,Errorlog_table[System],M$5,Errorlog_table[P_Hits],"Y")</f>
        <v>0</v>
      </c>
      <c r="Q51" s="324" t="str">
        <f>_xlfn.XLOOKUP(A51,Errorlog_table[AIR],Errorlog_table[Air_issue_description],"not found")</f>
        <v>[EX04] 2DBCR Failed to Read Barcode with active focus error</v>
      </c>
    </row>
    <row r="52" spans="1:17" hidden="1">
      <c r="A52" s="333" t="str">
        <v>P877184</v>
      </c>
      <c r="B52" s="325" t="str">
        <f>_xlfn.XLOOKUP(A52,Errorlog_table[AIR],Errorlog_table[Root_Error],"NA",0)</f>
        <v>LZ-2004</v>
      </c>
      <c r="C52" s="330">
        <f>COUNTIFS(Errorlog_table[AIR],Summary!A52,Errorlog_table[P_Hits],"Y")</f>
        <v>1</v>
      </c>
      <c r="D52" s="330">
        <f>COUNTIFS(Errorlog_table[AIR],Summary!A52,Errorlog_table[U_Hits],"Y")</f>
        <v>1</v>
      </c>
      <c r="E52" s="330"/>
      <c r="F52" s="330">
        <f>_xlfn.MAXIFS(Errorlog_table[Year_Week_Number],Errorlog_table[AIR],A52)</f>
        <v>202516</v>
      </c>
      <c r="G52" s="330"/>
      <c r="H52" s="330">
        <f ca="1">COUNTIFS(Errorlog_table[AIR],Summary!A52,Errorlog_table[Year_Week_Number],"&gt;="&amp;$G$3,Errorlog_table[Year_Week_Number],"&lt;="&amp;$D$3)</f>
        <v>0</v>
      </c>
      <c r="I52" s="330">
        <f ca="1">COUNTIFS(Errorlog_table[AIR],Summary!A52,Errorlog_table[P_Hits],"Y",Errorlog_table[Year_Week_Number],"&gt;="&amp;$G$3,Errorlog_table[Year_Week_Number],"&lt;="&amp;$D$3)</f>
        <v>0</v>
      </c>
      <c r="J52" s="330">
        <f t="shared" ca="1" si="1"/>
        <v>0</v>
      </c>
      <c r="K52" s="330">
        <f ca="1">COUNTIFS(Errorlog_table[AIR],Summary!$A52,Errorlog_table[Year_Week_Number],"&gt;="&amp;$G$3,Errorlog_table[Year_Week_Number],"&lt;="&amp;$D$3,Errorlog_table[System],K$5)</f>
        <v>0</v>
      </c>
      <c r="L52" s="330">
        <f ca="1">COUNTIFS(Errorlog_table[AIR],Summary!$A52,Errorlog_table[Year_Week_Number],"&gt;="&amp;$G$3,Errorlog_table[Year_Week_Number],"&lt;="&amp;$D$3,Errorlog_table[System],L$5)</f>
        <v>0</v>
      </c>
      <c r="M52" s="330">
        <f ca="1">COUNTIFS(Errorlog_table[AIR],Summary!$A52,Errorlog_table[Year_Week_Number],"&gt;="&amp;$G$3,Errorlog_table[Year_Week_Number],"&lt;="&amp;$D$3,Errorlog_table[System],M$5)</f>
        <v>0</v>
      </c>
      <c r="N52" s="330">
        <f ca="1">COUNTIFS(Errorlog_table[AIR],Summary!$A52,Errorlog_table[Year_Week_Number],"&gt;="&amp;$G$3,Errorlog_table[Year_Week_Number],"&lt;="&amp;$D$3,Errorlog_table[System],K$5,Errorlog_table[P_Hits],"Y")</f>
        <v>0</v>
      </c>
      <c r="O52" s="330">
        <f ca="1">COUNTIFS(Errorlog_table[AIR],Summary!$A52,Errorlog_table[Year_Week_Number],"&gt;="&amp;$G$3,Errorlog_table[Year_Week_Number],"&lt;="&amp;$D$3,Errorlog_table[System],L$5,Errorlog_table[P_Hits],"Y")</f>
        <v>0</v>
      </c>
      <c r="P52" s="330">
        <f ca="1">COUNTIFS(Errorlog_table[AIR],Summary!$A52,Errorlog_table[Year_Week_Number],"&gt;="&amp;$G$3,Errorlog_table[Year_Week_Number],"&lt;="&amp;$D$3,Errorlog_table[System],M$5,Errorlog_table[P_Hits],"Y")</f>
        <v>0</v>
      </c>
      <c r="Q52" s="324" t="str">
        <f>_xlfn.XLOOKUP(A52,Errorlog_table[AIR],Errorlog_table[Air_issue_description],"not found")</f>
        <v>mGY86 LZ-2004 Lot abort</v>
      </c>
    </row>
    <row r="53" spans="1:17" hidden="1">
      <c r="A53" s="333" t="str">
        <v>P862294</v>
      </c>
      <c r="B53" s="325" t="str">
        <f>_xlfn.XLOOKUP(A53,Errorlog_table[AIR],Errorlog_table[Root_Error],"NA",0)</f>
        <v>RU-1B22</v>
      </c>
      <c r="C53" s="330">
        <f>COUNTIFS(Errorlog_table[AIR],Summary!A53,Errorlog_table[P_Hits],"Y")</f>
        <v>0</v>
      </c>
      <c r="D53" s="330">
        <f>COUNTIFS(Errorlog_table[AIR],Summary!A53,Errorlog_table[U_Hits],"Y")</f>
        <v>1</v>
      </c>
      <c r="E53" s="330" t="str">
        <f ca="1">IF(COUNTIFS(Errorlog_table[AIR],Summary!A53,Errorlog_table[Year_Week_Number],"="&amp;$G$3,Errorlog_table[Year_Week_Number],"="&amp;$D$3)&gt;0,"X","")</f>
        <v/>
      </c>
      <c r="F53" s="330">
        <f>_xlfn.MAXIFS(Errorlog_table[Year_Week_Number],Errorlog_table[AIR],A53)</f>
        <v>202516</v>
      </c>
      <c r="G53" s="330"/>
      <c r="H53" s="330">
        <f ca="1">COUNTIFS(Errorlog_table[AIR],Summary!A53,Errorlog_table[Year_Week_Number],"&gt;="&amp;$G$3,Errorlog_table[Year_Week_Number],"&lt;="&amp;$D$3)</f>
        <v>0</v>
      </c>
      <c r="I53" s="330">
        <f ca="1">COUNTIFS(Errorlog_table[AIR],Summary!A53,Errorlog_table[P_Hits],"Y",Errorlog_table[Year_Week_Number],"&gt;="&amp;$G$3,Errorlog_table[Year_Week_Number],"&lt;="&amp;$D$3)</f>
        <v>0</v>
      </c>
      <c r="J53" s="330">
        <f t="shared" ca="1" si="1"/>
        <v>0</v>
      </c>
      <c r="K53" s="330">
        <f ca="1">COUNTIFS(Errorlog_table[AIR],Summary!$A53,Errorlog_table[Year_Week_Number],"&gt;="&amp;$G$3,Errorlog_table[Year_Week_Number],"&lt;="&amp;$D$3,Errorlog_table[System],K$5)</f>
        <v>0</v>
      </c>
      <c r="L53" s="330">
        <f ca="1">COUNTIFS(Errorlog_table[AIR],Summary!$A53,Errorlog_table[Year_Week_Number],"&gt;="&amp;$G$3,Errorlog_table[Year_Week_Number],"&lt;="&amp;$D$3,Errorlog_table[System],L$5)</f>
        <v>0</v>
      </c>
      <c r="M53" s="330">
        <f ca="1">COUNTIFS(Errorlog_table[AIR],Summary!$A53,Errorlog_table[Year_Week_Number],"&gt;="&amp;$G$3,Errorlog_table[Year_Week_Number],"&lt;="&amp;$D$3,Errorlog_table[System],M$5)</f>
        <v>0</v>
      </c>
      <c r="N53" s="330">
        <f ca="1">COUNTIFS(Errorlog_table[AIR],Summary!$A53,Errorlog_table[Year_Week_Number],"&gt;="&amp;$G$3,Errorlog_table[Year_Week_Number],"&lt;="&amp;$D$3,Errorlog_table[System],K$5,Errorlog_table[P_Hits],"Y")</f>
        <v>0</v>
      </c>
      <c r="O53" s="330">
        <f ca="1">COUNTIFS(Errorlog_table[AIR],Summary!$A53,Errorlog_table[Year_Week_Number],"&gt;="&amp;$G$3,Errorlog_table[Year_Week_Number],"&lt;="&amp;$D$3,Errorlog_table[System],L$5,Errorlog_table[P_Hits],"Y")</f>
        <v>0</v>
      </c>
      <c r="P53" s="330">
        <f ca="1">COUNTIFS(Errorlog_table[AIR],Summary!$A53,Errorlog_table[Year_Week_Number],"&gt;="&amp;$G$3,Errorlog_table[Year_Week_Number],"&lt;="&amp;$D$3,Errorlog_table[System],M$5,Errorlog_table[P_Hits],"Y")</f>
        <v>0</v>
      </c>
      <c r="Q53" s="324" t="str">
        <f>_xlfn.XLOOKUP(A53,Errorlog_table[AIR],Errorlog_table[Air_issue_description],"not found")</f>
        <v>EMFCMI fails on RM-3183 in EXE Proto2 (mEX04)</v>
      </c>
    </row>
    <row r="54" spans="1:17" hidden="1">
      <c r="A54" s="333" t="str">
        <v>P856296</v>
      </c>
      <c r="B54" s="325" t="str">
        <f>_xlfn.XLOOKUP(A54,Errorlog_table[AIR],Errorlog_table[Root_Error],"NA",0)</f>
        <v>DD-0000</v>
      </c>
      <c r="C54" s="330">
        <f>COUNTIFS(Errorlog_table[AIR],Summary!A54,Errorlog_table[P_Hits],"Y")</f>
        <v>1</v>
      </c>
      <c r="D54" s="330">
        <f>COUNTIFS(Errorlog_table[AIR],Summary!A54,Errorlog_table[U_Hits],"Y")</f>
        <v>1</v>
      </c>
      <c r="E54" s="330" t="str">
        <f ca="1">IF(COUNTIFS(Errorlog_table[AIR],Summary!A54,Errorlog_table[Year_Week_Number],"="&amp;$G$3,Errorlog_table[Year_Week_Number],"="&amp;$D$3)&gt;0,"X","")</f>
        <v/>
      </c>
      <c r="F54" s="330">
        <f>_xlfn.MAXIFS(Errorlog_table[Year_Week_Number],Errorlog_table[AIR],A54)</f>
        <v>202517</v>
      </c>
      <c r="G54" s="330"/>
      <c r="H54" s="330">
        <f ca="1">COUNTIFS(Errorlog_table[AIR],Summary!A54,Errorlog_table[Year_Week_Number],"&gt;="&amp;$G$3,Errorlog_table[Year_Week_Number],"&lt;="&amp;$D$3)</f>
        <v>0</v>
      </c>
      <c r="I54" s="330">
        <f ca="1">COUNTIFS(Errorlog_table[AIR],Summary!A54,Errorlog_table[P_Hits],"Y",Errorlog_table[Year_Week_Number],"&gt;="&amp;$G$3,Errorlog_table[Year_Week_Number],"&lt;="&amp;$D$3)</f>
        <v>0</v>
      </c>
      <c r="J54" s="330">
        <f t="shared" ca="1" si="1"/>
        <v>0</v>
      </c>
      <c r="K54" s="330">
        <f ca="1">COUNTIFS(Errorlog_table[AIR],Summary!$A54,Errorlog_table[Year_Week_Number],"&gt;="&amp;$G$3,Errorlog_table[Year_Week_Number],"&lt;="&amp;$D$3,Errorlog_table[System],K$5)</f>
        <v>0</v>
      </c>
      <c r="L54" s="330">
        <f ca="1">COUNTIFS(Errorlog_table[AIR],Summary!$A54,Errorlog_table[Year_Week_Number],"&gt;="&amp;$G$3,Errorlog_table[Year_Week_Number],"&lt;="&amp;$D$3,Errorlog_table[System],L$5)</f>
        <v>0</v>
      </c>
      <c r="M54" s="330">
        <f ca="1">COUNTIFS(Errorlog_table[AIR],Summary!$A54,Errorlog_table[Year_Week_Number],"&gt;="&amp;$G$3,Errorlog_table[Year_Week_Number],"&lt;="&amp;$D$3,Errorlog_table[System],M$5)</f>
        <v>0</v>
      </c>
      <c r="N54" s="330">
        <f ca="1">COUNTIFS(Errorlog_table[AIR],Summary!$A54,Errorlog_table[Year_Week_Number],"&gt;="&amp;$G$3,Errorlog_table[Year_Week_Number],"&lt;="&amp;$D$3,Errorlog_table[System],K$5,Errorlog_table[P_Hits],"Y")</f>
        <v>0</v>
      </c>
      <c r="O54" s="330">
        <f ca="1">COUNTIFS(Errorlog_table[AIR],Summary!$A54,Errorlog_table[Year_Week_Number],"&gt;="&amp;$G$3,Errorlog_table[Year_Week_Number],"&lt;="&amp;$D$3,Errorlog_table[System],L$5,Errorlog_table[P_Hits],"Y")</f>
        <v>0</v>
      </c>
      <c r="P54" s="330">
        <f ca="1">COUNTIFS(Errorlog_table[AIR],Summary!$A54,Errorlog_table[Year_Week_Number],"&gt;="&amp;$G$3,Errorlog_table[Year_Week_Number],"&lt;="&amp;$D$3,Errorlog_table[System],M$5,Errorlog_table[P_Hits],"Y")</f>
        <v>0</v>
      </c>
      <c r="Q54" s="324" t="str">
        <f>_xlfn.XLOOKUP(A54,Errorlog_table[AIR],Errorlog_table[Air_issue_description],"not found")</f>
        <v>memory leak on task DWDT (SP40)</v>
      </c>
    </row>
    <row r="55" spans="1:17" hidden="1">
      <c r="A55" s="333" t="str">
        <v>P885598</v>
      </c>
      <c r="B55" s="325" t="str">
        <f>_xlfn.XLOOKUP(A55,Errorlog_table[AIR],Errorlog_table[Root_Error],"NA",0)</f>
        <v>PL-7005</v>
      </c>
      <c r="C55" s="330">
        <f>COUNTIFS(Errorlog_table[AIR],Summary!A55,Errorlog_table[P_Hits],"Y")</f>
        <v>1</v>
      </c>
      <c r="D55" s="330">
        <f>COUNTIFS(Errorlog_table[AIR],Summary!A55,Errorlog_table[U_Hits],"Y")</f>
        <v>1</v>
      </c>
      <c r="E55" s="330"/>
      <c r="F55" s="330">
        <f>_xlfn.MAXIFS(Errorlog_table[Year_Week_Number],Errorlog_table[AIR],A55)</f>
        <v>202518</v>
      </c>
      <c r="G55" s="330"/>
      <c r="H55" s="330">
        <f ca="1">COUNTIFS(Errorlog_table[AIR],Summary!A55,Errorlog_table[Year_Week_Number],"&gt;="&amp;$G$3,Errorlog_table[Year_Week_Number],"&lt;="&amp;$D$3)</f>
        <v>0</v>
      </c>
      <c r="I55" s="330">
        <f ca="1">COUNTIFS(Errorlog_table[AIR],Summary!A55,Errorlog_table[P_Hits],"Y",Errorlog_table[Year_Week_Number],"&gt;="&amp;$G$3,Errorlog_table[Year_Week_Number],"&lt;="&amp;$D$3)</f>
        <v>0</v>
      </c>
      <c r="J55" s="330">
        <f t="shared" ca="1" si="1"/>
        <v>0</v>
      </c>
      <c r="K55" s="330">
        <f ca="1">COUNTIFS(Errorlog_table[AIR],Summary!$A55,Errorlog_table[Year_Week_Number],"&gt;="&amp;$G$3,Errorlog_table[Year_Week_Number],"&lt;="&amp;$D$3,Errorlog_table[System],K$5)</f>
        <v>0</v>
      </c>
      <c r="L55" s="330">
        <f ca="1">COUNTIFS(Errorlog_table[AIR],Summary!$A55,Errorlog_table[Year_Week_Number],"&gt;="&amp;$G$3,Errorlog_table[Year_Week_Number],"&lt;="&amp;$D$3,Errorlog_table[System],L$5)</f>
        <v>0</v>
      </c>
      <c r="M55" s="330">
        <f ca="1">COUNTIFS(Errorlog_table[AIR],Summary!$A55,Errorlog_table[Year_Week_Number],"&gt;="&amp;$G$3,Errorlog_table[Year_Week_Number],"&lt;="&amp;$D$3,Errorlog_table[System],M$5)</f>
        <v>0</v>
      </c>
      <c r="N55" s="330">
        <f ca="1">COUNTIFS(Errorlog_table[AIR],Summary!$A55,Errorlog_table[Year_Week_Number],"&gt;="&amp;$G$3,Errorlog_table[Year_Week_Number],"&lt;="&amp;$D$3,Errorlog_table[System],K$5,Errorlog_table[P_Hits],"Y")</f>
        <v>0</v>
      </c>
      <c r="O55" s="330">
        <f ca="1">COUNTIFS(Errorlog_table[AIR],Summary!$A55,Errorlog_table[Year_Week_Number],"&gt;="&amp;$G$3,Errorlog_table[Year_Week_Number],"&lt;="&amp;$D$3,Errorlog_table[System],L$5,Errorlog_table[P_Hits],"Y")</f>
        <v>0</v>
      </c>
      <c r="P55" s="330">
        <f ca="1">COUNTIFS(Errorlog_table[AIR],Summary!$A55,Errorlog_table[Year_Week_Number],"&gt;="&amp;$G$3,Errorlog_table[Year_Week_Number],"&lt;="&amp;$D$3,Errorlog_table[System],M$5,Errorlog_table[P_Hits],"Y")</f>
        <v>0</v>
      </c>
      <c r="Q55" s="324" t="str">
        <f>_xlfn.XLOOKUP(A55,Errorlog_table[AIR],Errorlog_table[Air_issue_description],"not found")</f>
        <v>[FDQ PDU] FDQ 4 channel module failure/error leads to long down time</v>
      </c>
    </row>
    <row r="56" spans="1:17" hidden="1">
      <c r="A56" s="333" t="str">
        <v>P884438</v>
      </c>
      <c r="B56" s="325" t="str">
        <f>_xlfn.XLOOKUP(A56,Errorlog_table[AIR],Errorlog_table[Root_Error],"NA",0)</f>
        <v>CN-0067</v>
      </c>
      <c r="C56" s="330">
        <f>COUNTIFS(Errorlog_table[AIR],Summary!A56,Errorlog_table[P_Hits],"Y")</f>
        <v>0</v>
      </c>
      <c r="D56" s="330">
        <f>COUNTIFS(Errorlog_table[AIR],Summary!A56,Errorlog_table[U_Hits],"Y")</f>
        <v>1</v>
      </c>
      <c r="E56" s="330" t="str">
        <f ca="1">IF(COUNTIFS(Errorlog_table[AIR],Summary!A56,Errorlog_table[Year_Week_Number],"="&amp;$G$3,Errorlog_table[Year_Week_Number],"="&amp;$D$3)&gt;0,"X","")</f>
        <v/>
      </c>
      <c r="F56" s="330">
        <f>_xlfn.MAXIFS(Errorlog_table[Year_Week_Number],Errorlog_table[AIR],A56)</f>
        <v>202519</v>
      </c>
      <c r="G56" s="330"/>
      <c r="H56" s="330">
        <f ca="1">COUNTIFS(Errorlog_table[AIR],Summary!A56,Errorlog_table[Year_Week_Number],"&gt;="&amp;$G$3,Errorlog_table[Year_Week_Number],"&lt;="&amp;$D$3)</f>
        <v>0</v>
      </c>
      <c r="I56" s="330">
        <f ca="1">COUNTIFS(Errorlog_table[AIR],Summary!A56,Errorlog_table[P_Hits],"Y",Errorlog_table[Year_Week_Number],"&gt;="&amp;$G$3,Errorlog_table[Year_Week_Number],"&lt;="&amp;$D$3)</f>
        <v>0</v>
      </c>
      <c r="J56" s="330">
        <f t="shared" ca="1" si="1"/>
        <v>0</v>
      </c>
      <c r="K56" s="330">
        <f ca="1">COUNTIFS(Errorlog_table[AIR],Summary!$A56,Errorlog_table[Year_Week_Number],"&gt;="&amp;$G$3,Errorlog_table[Year_Week_Number],"&lt;="&amp;$D$3,Errorlog_table[System],K$5)</f>
        <v>0</v>
      </c>
      <c r="L56" s="330">
        <f ca="1">COUNTIFS(Errorlog_table[AIR],Summary!$A56,Errorlog_table[Year_Week_Number],"&gt;="&amp;$G$3,Errorlog_table[Year_Week_Number],"&lt;="&amp;$D$3,Errorlog_table[System],L$5)</f>
        <v>0</v>
      </c>
      <c r="M56" s="330">
        <f ca="1">COUNTIFS(Errorlog_table[AIR],Summary!$A56,Errorlog_table[Year_Week_Number],"&gt;="&amp;$G$3,Errorlog_table[Year_Week_Number],"&lt;="&amp;$D$3,Errorlog_table[System],M$5)</f>
        <v>0</v>
      </c>
      <c r="N56" s="330">
        <f ca="1">COUNTIFS(Errorlog_table[AIR],Summary!$A56,Errorlog_table[Year_Week_Number],"&gt;="&amp;$G$3,Errorlog_table[Year_Week_Number],"&lt;="&amp;$D$3,Errorlog_table[System],K$5,Errorlog_table[P_Hits],"Y")</f>
        <v>0</v>
      </c>
      <c r="O56" s="330">
        <f ca="1">COUNTIFS(Errorlog_table[AIR],Summary!$A56,Errorlog_table[Year_Week_Number],"&gt;="&amp;$G$3,Errorlog_table[Year_Week_Number],"&lt;="&amp;$D$3,Errorlog_table[System],L$5,Errorlog_table[P_Hits],"Y")</f>
        <v>0</v>
      </c>
      <c r="P56" s="330">
        <f ca="1">COUNTIFS(Errorlog_table[AIR],Summary!$A56,Errorlog_table[Year_Week_Number],"&gt;="&amp;$G$3,Errorlog_table[Year_Week_Number],"&lt;="&amp;$D$3,Errorlog_table[System],M$5,Errorlog_table[P_Hits],"Y")</f>
        <v>0</v>
      </c>
      <c r="Q56" s="324" t="str">
        <f>_xlfn.XLOOKUP(A56,Errorlog_table[AIR],Errorlog_table[Air_issue_description],"not found")</f>
        <v xml:space="preserve">EpmID:120204| SCN - MLETs failed to start+POB Mighty Setup | CN-0067 | </v>
      </c>
    </row>
    <row r="57" spans="1:17" hidden="1">
      <c r="A57" s="333" t="str">
        <v>P885744</v>
      </c>
      <c r="B57" s="325" t="str">
        <f>_xlfn.XLOOKUP(A57,Errorlog_table[AIR],Errorlog_table[Root_Error],"NA",0)</f>
        <v>LSH-00AC</v>
      </c>
      <c r="C57" s="330">
        <f>COUNTIFS(Errorlog_table[AIR],Summary!A57,Errorlog_table[P_Hits],"Y")</f>
        <v>1</v>
      </c>
      <c r="D57" s="330">
        <f>COUNTIFS(Errorlog_table[AIR],Summary!A57,Errorlog_table[U_Hits],"Y")</f>
        <v>1</v>
      </c>
      <c r="E57" s="330" t="str">
        <f ca="1">IF(COUNTIFS(Errorlog_table[AIR],Summary!A57,Errorlog_table[Year_Week_Number],"="&amp;$G$3,Errorlog_table[Year_Week_Number],"="&amp;$D$3)&gt;0,"X","")</f>
        <v/>
      </c>
      <c r="F57" s="330">
        <f>_xlfn.MAXIFS(Errorlog_table[Year_Week_Number],Errorlog_table[AIR],A57)</f>
        <v>202519</v>
      </c>
      <c r="G57" s="330"/>
      <c r="H57" s="330">
        <f ca="1">COUNTIFS(Errorlog_table[AIR],Summary!A57,Errorlog_table[Year_Week_Number],"&gt;="&amp;$G$3,Errorlog_table[Year_Week_Number],"&lt;="&amp;$D$3)</f>
        <v>0</v>
      </c>
      <c r="I57" s="330">
        <f ca="1">COUNTIFS(Errorlog_table[AIR],Summary!A57,Errorlog_table[P_Hits],"Y",Errorlog_table[Year_Week_Number],"&gt;="&amp;$G$3,Errorlog_table[Year_Week_Number],"&lt;="&amp;$D$3)</f>
        <v>0</v>
      </c>
      <c r="J57" s="330">
        <f t="shared" ca="1" si="1"/>
        <v>0</v>
      </c>
      <c r="K57" s="330">
        <f ca="1">COUNTIFS(Errorlog_table[AIR],Summary!$A57,Errorlog_table[Year_Week_Number],"&gt;="&amp;$G$3,Errorlog_table[Year_Week_Number],"&lt;="&amp;$D$3,Errorlog_table[System],K$5)</f>
        <v>0</v>
      </c>
      <c r="L57" s="330">
        <f ca="1">COUNTIFS(Errorlog_table[AIR],Summary!$A57,Errorlog_table[Year_Week_Number],"&gt;="&amp;$G$3,Errorlog_table[Year_Week_Number],"&lt;="&amp;$D$3,Errorlog_table[System],L$5)</f>
        <v>0</v>
      </c>
      <c r="M57" s="330">
        <f ca="1">COUNTIFS(Errorlog_table[AIR],Summary!$A57,Errorlog_table[Year_Week_Number],"&gt;="&amp;$G$3,Errorlog_table[Year_Week_Number],"&lt;="&amp;$D$3,Errorlog_table[System],M$5)</f>
        <v>0</v>
      </c>
      <c r="N57" s="330">
        <f ca="1">COUNTIFS(Errorlog_table[AIR],Summary!$A57,Errorlog_table[Year_Week_Number],"&gt;="&amp;$G$3,Errorlog_table[Year_Week_Number],"&lt;="&amp;$D$3,Errorlog_table[System],K$5,Errorlog_table[P_Hits],"Y")</f>
        <v>0</v>
      </c>
      <c r="O57" s="330">
        <f ca="1">COUNTIFS(Errorlog_table[AIR],Summary!$A57,Errorlog_table[Year_Week_Number],"&gt;="&amp;$G$3,Errorlog_table[Year_Week_Number],"&lt;="&amp;$D$3,Errorlog_table[System],L$5,Errorlog_table[P_Hits],"Y")</f>
        <v>0</v>
      </c>
      <c r="P57" s="330">
        <f ca="1">COUNTIFS(Errorlog_table[AIR],Summary!$A57,Errorlog_table[Year_Week_Number],"&gt;="&amp;$G$3,Errorlog_table[Year_Week_Number],"&lt;="&amp;$D$3,Errorlog_table[System],M$5,Errorlog_table[P_Hits],"Y")</f>
        <v>0</v>
      </c>
      <c r="Q57" s="324" t="str">
        <f>_xlfn.XLOOKUP(A57,Errorlog_table[AIR],Errorlog_table[Air_issue_description],"not found")</f>
        <v xml:space="preserve">EpmID:120211| SRC - lot abort LSH-00AC | LSH-00AC | </v>
      </c>
    </row>
    <row r="58" spans="1:17" hidden="1">
      <c r="A58" s="333" t="str">
        <v>P885590</v>
      </c>
      <c r="B58" s="325" t="str">
        <f>_xlfn.XLOOKUP(A58,Errorlog_table[AIR],Errorlog_table[Root_Error],"NA",0)</f>
        <v>CG-A309</v>
      </c>
      <c r="C58" s="330">
        <f>COUNTIFS(Errorlog_table[AIR],Summary!A58,Errorlog_table[P_Hits],"Y")</f>
        <v>2</v>
      </c>
      <c r="D58" s="330">
        <f>COUNTIFS(Errorlog_table[AIR],Summary!A58,Errorlog_table[U_Hits],"Y")</f>
        <v>2</v>
      </c>
      <c r="E58" s="330" t="str">
        <f ca="1">IF(COUNTIFS(Errorlog_table[AIR],Summary!A58,Errorlog_table[Year_Week_Number],"="&amp;$G$3,Errorlog_table[Year_Week_Number],"="&amp;$D$3)&gt;0,"X","")</f>
        <v/>
      </c>
      <c r="F58" s="330">
        <f>_xlfn.MAXIFS(Errorlog_table[Year_Week_Number],Errorlog_table[AIR],A58)</f>
        <v>202520</v>
      </c>
      <c r="G58" s="330"/>
      <c r="H58" s="330">
        <f ca="1">COUNTIFS(Errorlog_table[AIR],Summary!A58,Errorlog_table[Year_Week_Number],"&gt;="&amp;$G$3,Errorlog_table[Year_Week_Number],"&lt;="&amp;$D$3)</f>
        <v>0</v>
      </c>
      <c r="I58" s="330">
        <f ca="1">COUNTIFS(Errorlog_table[AIR],Summary!A58,Errorlog_table[P_Hits],"Y",Errorlog_table[Year_Week_Number],"&gt;="&amp;$G$3,Errorlog_table[Year_Week_Number],"&lt;="&amp;$D$3)</f>
        <v>0</v>
      </c>
      <c r="J58" s="330">
        <f t="shared" ca="1" si="1"/>
        <v>0</v>
      </c>
      <c r="K58" s="330">
        <f ca="1">COUNTIFS(Errorlog_table[AIR],Summary!$A58,Errorlog_table[Year_Week_Number],"&gt;="&amp;$G$3,Errorlog_table[Year_Week_Number],"&lt;="&amp;$D$3,Errorlog_table[System],K$5)</f>
        <v>0</v>
      </c>
      <c r="L58" s="330">
        <f ca="1">COUNTIFS(Errorlog_table[AIR],Summary!$A58,Errorlog_table[Year_Week_Number],"&gt;="&amp;$G$3,Errorlog_table[Year_Week_Number],"&lt;="&amp;$D$3,Errorlog_table[System],L$5)</f>
        <v>0</v>
      </c>
      <c r="M58" s="330">
        <f ca="1">COUNTIFS(Errorlog_table[AIR],Summary!$A58,Errorlog_table[Year_Week_Number],"&gt;="&amp;$G$3,Errorlog_table[Year_Week_Number],"&lt;="&amp;$D$3,Errorlog_table[System],M$5)</f>
        <v>0</v>
      </c>
      <c r="N58" s="330">
        <f ca="1">COUNTIFS(Errorlog_table[AIR],Summary!$A58,Errorlog_table[Year_Week_Number],"&gt;="&amp;$G$3,Errorlog_table[Year_Week_Number],"&lt;="&amp;$D$3,Errorlog_table[System],K$5,Errorlog_table[P_Hits],"Y")</f>
        <v>0</v>
      </c>
      <c r="O58" s="330">
        <f ca="1">COUNTIFS(Errorlog_table[AIR],Summary!$A58,Errorlog_table[Year_Week_Number],"&gt;="&amp;$G$3,Errorlog_table[Year_Week_Number],"&lt;="&amp;$D$3,Errorlog_table[System],L$5,Errorlog_table[P_Hits],"Y")</f>
        <v>0</v>
      </c>
      <c r="P58" s="330">
        <f ca="1">COUNTIFS(Errorlog_table[AIR],Summary!$A58,Errorlog_table[Year_Week_Number],"&gt;="&amp;$G$3,Errorlog_table[Year_Week_Number],"&lt;="&amp;$D$3,Errorlog_table[System],M$5,Errorlog_table[P_Hits],"Y")</f>
        <v>0</v>
      </c>
      <c r="Q58" s="324" t="str">
        <f>_xlfn.XLOOKUP(A58,Errorlog_table[AIR],Errorlog_table[Air_issue_description],"not found")</f>
        <v>Large ER_Event_log pollution due to PG-5271, PG-5270, PG-</v>
      </c>
    </row>
    <row r="59" spans="1:17" hidden="1">
      <c r="A59" s="333" t="str">
        <v>P829173</v>
      </c>
      <c r="B59" s="325" t="str">
        <f>_xlfn.XLOOKUP(A59,Errorlog_table[AIR],Errorlog_table[Root_Error],"NA",0)</f>
        <v>LAB-002D</v>
      </c>
      <c r="C59" s="330">
        <f>COUNTIFS(Errorlog_table[AIR],Summary!A59,Errorlog_table[P_Hits],"Y")</f>
        <v>2</v>
      </c>
      <c r="D59" s="330">
        <f>COUNTIFS(Errorlog_table[AIR],Summary!A59,Errorlog_table[U_Hits],"Y")</f>
        <v>2</v>
      </c>
      <c r="E59" s="330" t="str">
        <f ca="1">IF(COUNTIFS(Errorlog_table[AIR],Summary!A59,Errorlog_table[Year_Week_Number],"="&amp;$G$3,Errorlog_table[Year_Week_Number],"="&amp;$D$3)&gt;0,"X","")</f>
        <v/>
      </c>
      <c r="F59" s="330">
        <f>_xlfn.MAXIFS(Errorlog_table[Year_Week_Number],Errorlog_table[AIR],A59)</f>
        <v>202521</v>
      </c>
      <c r="G59" s="330"/>
      <c r="H59" s="330">
        <f ca="1">COUNTIFS(Errorlog_table[AIR],Summary!A59,Errorlog_table[Year_Week_Number],"&gt;="&amp;$G$3,Errorlog_table[Year_Week_Number],"&lt;="&amp;$D$3)</f>
        <v>0</v>
      </c>
      <c r="I59" s="330">
        <f ca="1">COUNTIFS(Errorlog_table[AIR],Summary!A59,Errorlog_table[P_Hits],"Y",Errorlog_table[Year_Week_Number],"&gt;="&amp;$G$3,Errorlog_table[Year_Week_Number],"&lt;="&amp;$D$3)</f>
        <v>0</v>
      </c>
      <c r="J59" s="330">
        <f t="shared" ca="1" si="1"/>
        <v>0</v>
      </c>
      <c r="K59" s="330">
        <f ca="1">COUNTIFS(Errorlog_table[AIR],Summary!$A59,Errorlog_table[Year_Week_Number],"&gt;="&amp;$G$3,Errorlog_table[Year_Week_Number],"&lt;="&amp;$D$3,Errorlog_table[System],K$5)</f>
        <v>0</v>
      </c>
      <c r="L59" s="330">
        <f ca="1">COUNTIFS(Errorlog_table[AIR],Summary!$A59,Errorlog_table[Year_Week_Number],"&gt;="&amp;$G$3,Errorlog_table[Year_Week_Number],"&lt;="&amp;$D$3,Errorlog_table[System],L$5)</f>
        <v>0</v>
      </c>
      <c r="M59" s="330">
        <f ca="1">COUNTIFS(Errorlog_table[AIR],Summary!$A59,Errorlog_table[Year_Week_Number],"&gt;="&amp;$G$3,Errorlog_table[Year_Week_Number],"&lt;="&amp;$D$3,Errorlog_table[System],M$5)</f>
        <v>0</v>
      </c>
      <c r="N59" s="330">
        <f ca="1">COUNTIFS(Errorlog_table[AIR],Summary!$A59,Errorlog_table[Year_Week_Number],"&gt;="&amp;$G$3,Errorlog_table[Year_Week_Number],"&lt;="&amp;$D$3,Errorlog_table[System],K$5,Errorlog_table[P_Hits],"Y")</f>
        <v>0</v>
      </c>
      <c r="O59" s="330">
        <f ca="1">COUNTIFS(Errorlog_table[AIR],Summary!$A59,Errorlog_table[Year_Week_Number],"&gt;="&amp;$G$3,Errorlog_table[Year_Week_Number],"&lt;="&amp;$D$3,Errorlog_table[System],L$5,Errorlog_table[P_Hits],"Y")</f>
        <v>0</v>
      </c>
      <c r="P59" s="330">
        <f ca="1">COUNTIFS(Errorlog_table[AIR],Summary!$A59,Errorlog_table[Year_Week_Number],"&gt;="&amp;$G$3,Errorlog_table[Year_Week_Number],"&lt;="&amp;$D$3,Errorlog_table[System],M$5,Errorlog_table[P_Hits],"Y")</f>
        <v>0</v>
      </c>
      <c r="Q59" s="324" t="str">
        <f>_xlfn.XLOOKUP(A59,Errorlog_table[AIR],Errorlog_table[Air_issue_description],"not found")</f>
        <v>MC53 DC-Link error limit NOK, causing downtime and MC53 swaps for US voltag</v>
      </c>
    </row>
    <row r="60" spans="1:17" hidden="1">
      <c r="A60" s="333" t="str">
        <v>P863919</v>
      </c>
      <c r="B60" s="325" t="str">
        <f>_xlfn.XLOOKUP(A60,Errorlog_table[AIR],Errorlog_table[Root_Error],"NA",0)</f>
        <v>UL-90EA</v>
      </c>
      <c r="C60" s="330">
        <f>COUNTIFS(Errorlog_table[AIR],Summary!A60,Errorlog_table[P_Hits],"Y")</f>
        <v>3</v>
      </c>
      <c r="D60" s="330">
        <f>COUNTIFS(Errorlog_table[AIR],Summary!A60,Errorlog_table[U_Hits],"Y")</f>
        <v>3</v>
      </c>
      <c r="E60" s="330" t="str">
        <f ca="1">IF(COUNTIFS(Errorlog_table[AIR],Summary!A60,Errorlog_table[Year_Week_Number],"="&amp;$G$3,Errorlog_table[Year_Week_Number],"="&amp;$D$3)&gt;0,"X","")</f>
        <v/>
      </c>
      <c r="F60" s="330">
        <f>_xlfn.MAXIFS(Errorlog_table[Year_Week_Number],Errorlog_table[AIR],A60)</f>
        <v>202522</v>
      </c>
      <c r="G60" s="330"/>
      <c r="H60" s="330">
        <f ca="1">COUNTIFS(Errorlog_table[AIR],Summary!A60,Errorlog_table[Year_Week_Number],"&gt;="&amp;$G$3,Errorlog_table[Year_Week_Number],"&lt;="&amp;$D$3)</f>
        <v>0</v>
      </c>
      <c r="I60" s="330">
        <f ca="1">COUNTIFS(Errorlog_table[AIR],Summary!A60,Errorlog_table[P_Hits],"Y",Errorlog_table[Year_Week_Number],"&gt;="&amp;$G$3,Errorlog_table[Year_Week_Number],"&lt;="&amp;$D$3)</f>
        <v>0</v>
      </c>
      <c r="J60" s="330">
        <f t="shared" ca="1" si="1"/>
        <v>0</v>
      </c>
      <c r="K60" s="330">
        <f ca="1">COUNTIFS(Errorlog_table[AIR],Summary!$A60,Errorlog_table[Year_Week_Number],"&gt;="&amp;$G$3,Errorlog_table[Year_Week_Number],"&lt;="&amp;$D$3,Errorlog_table[System],K$5)</f>
        <v>0</v>
      </c>
      <c r="L60" s="330">
        <f ca="1">COUNTIFS(Errorlog_table[AIR],Summary!$A60,Errorlog_table[Year_Week_Number],"&gt;="&amp;$G$3,Errorlog_table[Year_Week_Number],"&lt;="&amp;$D$3,Errorlog_table[System],L$5)</f>
        <v>0</v>
      </c>
      <c r="M60" s="330">
        <f ca="1">COUNTIFS(Errorlog_table[AIR],Summary!$A60,Errorlog_table[Year_Week_Number],"&gt;="&amp;$G$3,Errorlog_table[Year_Week_Number],"&lt;="&amp;$D$3,Errorlog_table[System],M$5)</f>
        <v>0</v>
      </c>
      <c r="N60" s="330">
        <f ca="1">COUNTIFS(Errorlog_table[AIR],Summary!$A60,Errorlog_table[Year_Week_Number],"&gt;="&amp;$G$3,Errorlog_table[Year_Week_Number],"&lt;="&amp;$D$3,Errorlog_table[System],K$5,Errorlog_table[P_Hits],"Y")</f>
        <v>0</v>
      </c>
      <c r="O60" s="330">
        <f ca="1">COUNTIFS(Errorlog_table[AIR],Summary!$A60,Errorlog_table[Year_Week_Number],"&gt;="&amp;$G$3,Errorlog_table[Year_Week_Number],"&lt;="&amp;$D$3,Errorlog_table[System],L$5,Errorlog_table[P_Hits],"Y")</f>
        <v>0</v>
      </c>
      <c r="P60" s="330">
        <f ca="1">COUNTIFS(Errorlog_table[AIR],Summary!$A60,Errorlog_table[Year_Week_Number],"&gt;="&amp;$G$3,Errorlog_table[Year_Week_Number],"&lt;="&amp;$D$3,Errorlog_table[System],M$5,Errorlog_table[P_Hits],"Y")</f>
        <v>0</v>
      </c>
      <c r="Q60" s="324" t="str">
        <f>_xlfn.XLOOKUP(A60,Errorlog_table[AIR],Errorlog_table[Air_issue_description],"not found")</f>
        <v>Too high RCW flow on NxZ12 &amp; PxZ10 (PX side) WaterFlow (Supply Valve 54: MM1 NX &amp; PX) on OMM testrig 2 (BH88 - pilot 2)</v>
      </c>
    </row>
    <row r="61" spans="1:17" hidden="1">
      <c r="A61" s="333" t="str">
        <v>P891530</v>
      </c>
      <c r="B61" s="325" t="str">
        <f>_xlfn.XLOOKUP(A61,Errorlog_table[AIR],Errorlog_table[Root_Error],"NA",0)</f>
        <v>LBB-2004</v>
      </c>
      <c r="C61" s="330">
        <f>COUNTIFS(Errorlog_table[AIR],Summary!A61,Errorlog_table[P_Hits],"Y")</f>
        <v>1</v>
      </c>
      <c r="D61" s="330">
        <f>COUNTIFS(Errorlog_table[AIR],Summary!A61,Errorlog_table[U_Hits],"Y")</f>
        <v>1</v>
      </c>
      <c r="E61" s="330"/>
      <c r="F61" s="330">
        <f>_xlfn.MAXIFS(Errorlog_table[Year_Week_Number],Errorlog_table[AIR],A61)</f>
        <v>202523</v>
      </c>
      <c r="G61" s="330"/>
      <c r="H61" s="330">
        <f ca="1">COUNTIFS(Errorlog_table[AIR],Summary!A61,Errorlog_table[Year_Week_Number],"&gt;="&amp;$G$3,Errorlog_table[Year_Week_Number],"&lt;="&amp;$D$3)</f>
        <v>1</v>
      </c>
      <c r="I61" s="330">
        <f ca="1">COUNTIFS(Errorlog_table[AIR],Summary!A61,Errorlog_table[P_Hits],"Y",Errorlog_table[Year_Week_Number],"&gt;="&amp;$G$3,Errorlog_table[Year_Week_Number],"&lt;="&amp;$D$3)</f>
        <v>1</v>
      </c>
      <c r="J61" s="330">
        <f t="shared" ca="1" si="1"/>
        <v>1</v>
      </c>
      <c r="K61" s="330">
        <f ca="1">COUNTIFS(Errorlog_table[AIR],Summary!$A61,Errorlog_table[Year_Week_Number],"&gt;="&amp;$G$3,Errorlog_table[Year_Week_Number],"&lt;="&amp;$D$3,Errorlog_table[System],K$5)</f>
        <v>0</v>
      </c>
      <c r="L61" s="330">
        <f ca="1">COUNTIFS(Errorlog_table[AIR],Summary!$A61,Errorlog_table[Year_Week_Number],"&gt;="&amp;$G$3,Errorlog_table[Year_Week_Number],"&lt;="&amp;$D$3,Errorlog_table[System],L$5)</f>
        <v>0</v>
      </c>
      <c r="M61" s="330">
        <f ca="1">COUNTIFS(Errorlog_table[AIR],Summary!$A61,Errorlog_table[Year_Week_Number],"&gt;="&amp;$G$3,Errorlog_table[Year_Week_Number],"&lt;="&amp;$D$3,Errorlog_table[System],M$5)</f>
        <v>1</v>
      </c>
      <c r="N61" s="330">
        <f ca="1">COUNTIFS(Errorlog_table[AIR],Summary!$A61,Errorlog_table[Year_Week_Number],"&gt;="&amp;$G$3,Errorlog_table[Year_Week_Number],"&lt;="&amp;$D$3,Errorlog_table[System],K$5,Errorlog_table[P_Hits],"Y")</f>
        <v>0</v>
      </c>
      <c r="O61" s="330">
        <f ca="1">COUNTIFS(Errorlog_table[AIR],Summary!$A61,Errorlog_table[Year_Week_Number],"&gt;="&amp;$G$3,Errorlog_table[Year_Week_Number],"&lt;="&amp;$D$3,Errorlog_table[System],L$5,Errorlog_table[P_Hits],"Y")</f>
        <v>0</v>
      </c>
      <c r="P61" s="330">
        <f ca="1">COUNTIFS(Errorlog_table[AIR],Summary!$A61,Errorlog_table[Year_Week_Number],"&gt;="&amp;$G$3,Errorlog_table[Year_Week_Number],"&lt;="&amp;$D$3,Errorlog_table[System],M$5,Errorlog_table[P_Hits],"Y")</f>
        <v>1</v>
      </c>
      <c r="Q61" s="324" t="str">
        <f>_xlfn.XLOOKUP(A61,Errorlog_table[AIR],Errorlog_table[Air_issue_description],"not found")</f>
        <v>FFA-FU: LBB-2004 Temperature switch discrepancy detected, but can not find root cause by official T/S Wo</v>
      </c>
    </row>
    <row r="62" spans="1:17" hidden="1">
      <c r="A62" s="333" t="str">
        <v>RCA</v>
      </c>
      <c r="B62" s="325" t="str">
        <f>_xlfn.XLOOKUP(A62,Errorlog_table[AIR],Errorlog_table[Root_Error],"NA",0)</f>
        <v>WX-803D</v>
      </c>
      <c r="C62" s="330">
        <f>COUNTIFS(Errorlog_table[AIR],Summary!A62,Errorlog_table[P_Hits],"Y")</f>
        <v>0</v>
      </c>
      <c r="D62" s="330">
        <f>COUNTIFS(Errorlog_table[AIR],Summary!A62,Errorlog_table[U_Hits],"Y")</f>
        <v>1</v>
      </c>
      <c r="E62" s="330" t="str">
        <f ca="1">IF(COUNTIFS(Errorlog_table[AIR],Summary!A62,Errorlog_table[Year_Week_Number],"="&amp;$G$3,Errorlog_table[Year_Week_Number],"="&amp;$D$3)&gt;0,"X","")</f>
        <v/>
      </c>
      <c r="F62" s="330">
        <f>_xlfn.MAXIFS(Errorlog_table[Year_Week_Number],Errorlog_table[AIR],A62)</f>
        <v>202524</v>
      </c>
      <c r="G62" s="330"/>
      <c r="H62" s="330">
        <f ca="1">COUNTIFS(Errorlog_table[AIR],Summary!A62,Errorlog_table[Year_Week_Number],"&gt;="&amp;$G$3,Errorlog_table[Year_Week_Number],"&lt;="&amp;$D$3)</f>
        <v>1</v>
      </c>
      <c r="I62" s="330">
        <f ca="1">COUNTIFS(Errorlog_table[AIR],Summary!A62,Errorlog_table[P_Hits],"Y",Errorlog_table[Year_Week_Number],"&gt;="&amp;$G$3,Errorlog_table[Year_Week_Number],"&lt;="&amp;$D$3)</f>
        <v>0</v>
      </c>
      <c r="J62" s="330">
        <f t="shared" ca="1" si="1"/>
        <v>0</v>
      </c>
      <c r="K62" s="330">
        <f ca="1">COUNTIFS(Errorlog_table[AIR],Summary!$A62,Errorlog_table[Year_Week_Number],"&gt;="&amp;$G$3,Errorlog_table[Year_Week_Number],"&lt;="&amp;$D$3,Errorlog_table[System],K$5)</f>
        <v>0</v>
      </c>
      <c r="L62" s="330">
        <f ca="1">COUNTIFS(Errorlog_table[AIR],Summary!$A62,Errorlog_table[Year_Week_Number],"&gt;="&amp;$G$3,Errorlog_table[Year_Week_Number],"&lt;="&amp;$D$3,Errorlog_table[System],L$5)</f>
        <v>0</v>
      </c>
      <c r="M62" s="330">
        <f ca="1">COUNTIFS(Errorlog_table[AIR],Summary!$A62,Errorlog_table[Year_Week_Number],"&gt;="&amp;$G$3,Errorlog_table[Year_Week_Number],"&lt;="&amp;$D$3,Errorlog_table[System],M$5)</f>
        <v>1</v>
      </c>
      <c r="N62" s="330">
        <f ca="1">COUNTIFS(Errorlog_table[AIR],Summary!$A62,Errorlog_table[Year_Week_Number],"&gt;="&amp;$G$3,Errorlog_table[Year_Week_Number],"&lt;="&amp;$D$3,Errorlog_table[System],K$5,Errorlog_table[P_Hits],"Y")</f>
        <v>0</v>
      </c>
      <c r="O62" s="330">
        <f ca="1">COUNTIFS(Errorlog_table[AIR],Summary!$A62,Errorlog_table[Year_Week_Number],"&gt;="&amp;$G$3,Errorlog_table[Year_Week_Number],"&lt;="&amp;$D$3,Errorlog_table[System],L$5,Errorlog_table[P_Hits],"Y")</f>
        <v>0</v>
      </c>
      <c r="P62" s="330">
        <f ca="1">COUNTIFS(Errorlog_table[AIR],Summary!$A62,Errorlog_table[Year_Week_Number],"&gt;="&amp;$G$3,Errorlog_table[Year_Week_Number],"&lt;="&amp;$D$3,Errorlog_table[System],M$5,Errorlog_table[P_Hits],"Y")</f>
        <v>0</v>
      </c>
      <c r="Q62" s="324" t="str">
        <f>_xlfn.XLOOKUP(A62,Errorlog_table[AIR],Errorlog_table[Air_issue_description],"not found")</f>
        <v>BSLr-Overlay lot queue can not start</v>
      </c>
    </row>
    <row r="63" spans="1:17" hidden="1">
      <c r="A63" s="333" t="str">
        <v>P889696</v>
      </c>
      <c r="B63" s="325" t="str">
        <f>_xlfn.XLOOKUP(A63,Errorlog_table[AIR],Errorlog_table[Root_Error],"NA",0)</f>
        <v>RU-14C5</v>
      </c>
      <c r="C63" s="330">
        <f>COUNTIFS(Errorlog_table[AIR],Summary!A63,Errorlog_table[P_Hits],"Y")</f>
        <v>1</v>
      </c>
      <c r="D63" s="330">
        <f>COUNTIFS(Errorlog_table[AIR],Summary!A63,Errorlog_table[U_Hits],"Y")</f>
        <v>1</v>
      </c>
      <c r="E63" s="330"/>
      <c r="F63" s="330">
        <f>_xlfn.MAXIFS(Errorlog_table[Year_Week_Number],Errorlog_table[AIR],A63)</f>
        <v>202525</v>
      </c>
      <c r="G63" s="330"/>
      <c r="H63" s="330">
        <f ca="1">COUNTIFS(Errorlog_table[AIR],Summary!A63,Errorlog_table[Year_Week_Number],"&gt;="&amp;$G$3,Errorlog_table[Year_Week_Number],"&lt;="&amp;$D$3)</f>
        <v>1</v>
      </c>
      <c r="I63" s="330">
        <f ca="1">COUNTIFS(Errorlog_table[AIR],Summary!A63,Errorlog_table[P_Hits],"Y",Errorlog_table[Year_Week_Number],"&gt;="&amp;$G$3,Errorlog_table[Year_Week_Number],"&lt;="&amp;$D$3)</f>
        <v>1</v>
      </c>
      <c r="J63" s="330">
        <f t="shared" ca="1" si="1"/>
        <v>1</v>
      </c>
      <c r="K63" s="330">
        <f ca="1">COUNTIFS(Errorlog_table[AIR],Summary!$A63,Errorlog_table[Year_Week_Number],"&gt;="&amp;$G$3,Errorlog_table[Year_Week_Number],"&lt;="&amp;$D$3,Errorlog_table[System],K$5)</f>
        <v>1</v>
      </c>
      <c r="L63" s="330">
        <f ca="1">COUNTIFS(Errorlog_table[AIR],Summary!$A63,Errorlog_table[Year_Week_Number],"&gt;="&amp;$G$3,Errorlog_table[Year_Week_Number],"&lt;="&amp;$D$3,Errorlog_table[System],L$5)</f>
        <v>0</v>
      </c>
      <c r="M63" s="330">
        <f ca="1">COUNTIFS(Errorlog_table[AIR],Summary!$A63,Errorlog_table[Year_Week_Number],"&gt;="&amp;$G$3,Errorlog_table[Year_Week_Number],"&lt;="&amp;$D$3,Errorlog_table[System],M$5)</f>
        <v>0</v>
      </c>
      <c r="N63" s="330">
        <f ca="1">COUNTIFS(Errorlog_table[AIR],Summary!$A63,Errorlog_table[Year_Week_Number],"&gt;="&amp;$G$3,Errorlog_table[Year_Week_Number],"&lt;="&amp;$D$3,Errorlog_table[System],K$5,Errorlog_table[P_Hits],"Y")</f>
        <v>1</v>
      </c>
      <c r="O63" s="330">
        <f ca="1">COUNTIFS(Errorlog_table[AIR],Summary!$A63,Errorlog_table[Year_Week_Number],"&gt;="&amp;$G$3,Errorlog_table[Year_Week_Number],"&lt;="&amp;$D$3,Errorlog_table[System],L$5,Errorlog_table[P_Hits],"Y")</f>
        <v>0</v>
      </c>
      <c r="P63" s="330">
        <f ca="1">COUNTIFS(Errorlog_table[AIR],Summary!$A63,Errorlog_table[Year_Week_Number],"&gt;="&amp;$G$3,Errorlog_table[Year_Week_Number],"&lt;="&amp;$D$3,Errorlog_table[System],M$5,Errorlog_table[P_Hits],"Y")</f>
        <v>0</v>
      </c>
      <c r="Q63" s="324" t="str">
        <f>_xlfn.XLOOKUP(A63,Errorlog_table[AIR],Errorlog_table[Air_issue_description],"not found")</f>
        <v>[EXE][GN93][Pil7] RETEX22 RELIAB queue failed on reticle unload - RU-14C5</v>
      </c>
    </row>
    <row r="64" spans="1:17">
      <c r="A64" s="333" t="str">
        <v>P892467</v>
      </c>
      <c r="B64" s="325" t="str">
        <f>_xlfn.XLOOKUP(A64,Errorlog_table[AIR],Errorlog_table[Root_Error],"NA",0)</f>
        <v>RU-4629</v>
      </c>
      <c r="C64" s="330">
        <f>COUNTIFS(Errorlog_table[AIR],Summary!A64,Errorlog_table[P_Hits],"Y")</f>
        <v>1</v>
      </c>
      <c r="D64" s="330">
        <f>COUNTIFS(Errorlog_table[AIR],Summary!A64,Errorlog_table[U_Hits],"Y")</f>
        <v>2</v>
      </c>
      <c r="E64" s="330" t="str">
        <f ca="1">IF(COUNTIFS(Errorlog_table[AIR],Summary!A64,Errorlog_table[Year_Week_Number],"="&amp;$G$3,Errorlog_table[Year_Week_Number],"="&amp;$D$3)&gt;0,"X","")</f>
        <v/>
      </c>
      <c r="F64" s="330">
        <f>_xlfn.MAXIFS(Errorlog_table[Year_Week_Number],Errorlog_table[AIR],A64)</f>
        <v>202530</v>
      </c>
      <c r="G64" s="330"/>
      <c r="H64" s="330">
        <f ca="1">COUNTIFS(Errorlog_table[AIR],Summary!A64,Errorlog_table[Year_Week_Number],"&gt;="&amp;$G$3,Errorlog_table[Year_Week_Number],"&lt;="&amp;$D$3)</f>
        <v>2</v>
      </c>
      <c r="I64" s="330">
        <f ca="1">COUNTIFS(Errorlog_table[AIR],Summary!A64,Errorlog_table[P_Hits],"Y",Errorlog_table[Year_Week_Number],"&gt;="&amp;$G$3,Errorlog_table[Year_Week_Number],"&lt;="&amp;$D$3)</f>
        <v>1</v>
      </c>
      <c r="J64" s="330">
        <f t="shared" ca="1" si="1"/>
        <v>1</v>
      </c>
      <c r="K64" s="330">
        <f ca="1">COUNTIFS(Errorlog_table[AIR],Summary!$A64,Errorlog_table[Year_Week_Number],"&gt;="&amp;$G$3,Errorlog_table[Year_Week_Number],"&lt;="&amp;$D$3,Errorlog_table[System],K$5)</f>
        <v>0</v>
      </c>
      <c r="L64" s="330">
        <f ca="1">COUNTIFS(Errorlog_table[AIR],Summary!$A64,Errorlog_table[Year_Week_Number],"&gt;="&amp;$G$3,Errorlog_table[Year_Week_Number],"&lt;="&amp;$D$3,Errorlog_table[System],L$5)</f>
        <v>0</v>
      </c>
      <c r="M64" s="330">
        <f ca="1">COUNTIFS(Errorlog_table[AIR],Summary!$A64,Errorlog_table[Year_Week_Number],"&gt;="&amp;$G$3,Errorlog_table[Year_Week_Number],"&lt;="&amp;$D$3,Errorlog_table[System],M$5)</f>
        <v>2</v>
      </c>
      <c r="N64" s="330">
        <f ca="1">COUNTIFS(Errorlog_table[AIR],Summary!$A64,Errorlog_table[Year_Week_Number],"&gt;="&amp;$G$3,Errorlog_table[Year_Week_Number],"&lt;="&amp;$D$3,Errorlog_table[System],K$5,Errorlog_table[P_Hits],"Y")</f>
        <v>0</v>
      </c>
      <c r="O64" s="330">
        <f ca="1">COUNTIFS(Errorlog_table[AIR],Summary!$A64,Errorlog_table[Year_Week_Number],"&gt;="&amp;$G$3,Errorlog_table[Year_Week_Number],"&lt;="&amp;$D$3,Errorlog_table[System],L$5,Errorlog_table[P_Hits],"Y")</f>
        <v>0</v>
      </c>
      <c r="P64" s="330">
        <f ca="1">COUNTIFS(Errorlog_table[AIR],Summary!$A64,Errorlog_table[Year_Week_Number],"&gt;="&amp;$G$3,Errorlog_table[Year_Week_Number],"&lt;="&amp;$D$3,Errorlog_table[System],M$5,Errorlog_table[P_Hits],"Y")</f>
        <v>1</v>
      </c>
      <c r="Q64" s="324" t="str">
        <f>_xlfn.XLOOKUP(A64,Errorlog_table[AIR],Errorlog_table[Air_issue_description],"not found")</f>
        <v>[GT69] Intermittent RH MMDC LDLK EIP PRS PLB Sensor</v>
      </c>
    </row>
    <row r="65" spans="1:17" hidden="1">
      <c r="A65" s="333" t="str">
        <v>P897069</v>
      </c>
      <c r="B65" s="325" t="str">
        <f>_xlfn.XLOOKUP(A65,Errorlog_table[AIR],Errorlog_table[Root_Error],"NA",0)</f>
        <v>MOI-0045</v>
      </c>
      <c r="C65" s="330">
        <f>COUNTIFS(Errorlog_table[AIR],Summary!A65,Errorlog_table[P_Hits],"Y")</f>
        <v>1</v>
      </c>
      <c r="D65" s="330">
        <f>COUNTIFS(Errorlog_table[AIR],Summary!A65,Errorlog_table[U_Hits],"Y")</f>
        <v>1</v>
      </c>
      <c r="E65" s="330" t="str">
        <f ca="1">IF(COUNTIFS(Errorlog_table[AIR],Summary!A65,Errorlog_table[Year_Week_Number],"="&amp;$G$3,Errorlog_table[Year_Week_Number],"="&amp;$D$3)&gt;0,"X","")</f>
        <v/>
      </c>
      <c r="F65" s="330">
        <f>_xlfn.MAXIFS(Errorlog_table[Year_Week_Number],Errorlog_table[AIR],A65)</f>
        <v>202525</v>
      </c>
      <c r="G65" s="330"/>
      <c r="H65" s="330">
        <f ca="1">COUNTIFS(Errorlog_table[AIR],Summary!A65,Errorlog_table[Year_Week_Number],"&gt;="&amp;$G$3,Errorlog_table[Year_Week_Number],"&lt;="&amp;$D$3)</f>
        <v>1</v>
      </c>
      <c r="I65" s="330">
        <f ca="1">COUNTIFS(Errorlog_table[AIR],Summary!A65,Errorlog_table[P_Hits],"Y",Errorlog_table[Year_Week_Number],"&gt;="&amp;$G$3,Errorlog_table[Year_Week_Number],"&lt;="&amp;$D$3)</f>
        <v>1</v>
      </c>
      <c r="J65" s="330">
        <f t="shared" ca="1" si="1"/>
        <v>1</v>
      </c>
      <c r="K65" s="330">
        <f ca="1">COUNTIFS(Errorlog_table[AIR],Summary!$A65,Errorlog_table[Year_Week_Number],"&gt;="&amp;$G$3,Errorlog_table[Year_Week_Number],"&lt;="&amp;$D$3,Errorlog_table[System],K$5)</f>
        <v>1</v>
      </c>
      <c r="L65" s="330">
        <f ca="1">COUNTIFS(Errorlog_table[AIR],Summary!$A65,Errorlog_table[Year_Week_Number],"&gt;="&amp;$G$3,Errorlog_table[Year_Week_Number],"&lt;="&amp;$D$3,Errorlog_table[System],L$5)</f>
        <v>0</v>
      </c>
      <c r="M65" s="330">
        <f ca="1">COUNTIFS(Errorlog_table[AIR],Summary!$A65,Errorlog_table[Year_Week_Number],"&gt;="&amp;$G$3,Errorlog_table[Year_Week_Number],"&lt;="&amp;$D$3,Errorlog_table[System],M$5)</f>
        <v>0</v>
      </c>
      <c r="N65" s="330">
        <f ca="1">COUNTIFS(Errorlog_table[AIR],Summary!$A65,Errorlog_table[Year_Week_Number],"&gt;="&amp;$G$3,Errorlog_table[Year_Week_Number],"&lt;="&amp;$D$3,Errorlog_table[System],K$5,Errorlog_table[P_Hits],"Y")</f>
        <v>1</v>
      </c>
      <c r="O65" s="330">
        <f ca="1">COUNTIFS(Errorlog_table[AIR],Summary!$A65,Errorlog_table[Year_Week_Number],"&gt;="&amp;$G$3,Errorlog_table[Year_Week_Number],"&lt;="&amp;$D$3,Errorlog_table[System],L$5,Errorlog_table[P_Hits],"Y")</f>
        <v>0</v>
      </c>
      <c r="P65" s="330">
        <f ca="1">COUNTIFS(Errorlog_table[AIR],Summary!$A65,Errorlog_table[Year_Week_Number],"&gt;="&amp;$G$3,Errorlog_table[Year_Week_Number],"&lt;="&amp;$D$3,Errorlog_table[System],M$5,Errorlog_table[P_Hits],"Y")</f>
        <v>0</v>
      </c>
      <c r="Q65" s="324" t="str">
        <f>_xlfn.XLOOKUP(A65,Errorlog_table[AIR],Errorlog_table[Air_issue_description],"not found")</f>
        <v xml:space="preserve">CR51 lot abort MOI-0045: SRC - Lot Abort for SRC Laser Control </v>
      </c>
    </row>
    <row r="66" spans="1:17" hidden="1">
      <c r="A66" s="333" t="str">
        <v>P855852</v>
      </c>
      <c r="B66" s="325" t="str">
        <f>_xlfn.XLOOKUP(A66,Errorlog_table[AIR],Errorlog_table[Root_Error],"NA",0)</f>
        <v>SF-4514</v>
      </c>
      <c r="C66" s="330">
        <f>COUNTIFS(Errorlog_table[AIR],Summary!A66,Errorlog_table[P_Hits],"Y")</f>
        <v>1</v>
      </c>
      <c r="D66" s="330">
        <f>COUNTIFS(Errorlog_table[AIR],Summary!A66,Errorlog_table[U_Hits],"Y")</f>
        <v>1</v>
      </c>
      <c r="E66" s="330" t="str">
        <f ca="1">IF(COUNTIFS(Errorlog_table[AIR],Summary!A66,Errorlog_table[Year_Week_Number],"="&amp;$G$3,Errorlog_table[Year_Week_Number],"="&amp;$D$3)&gt;0,"X","")</f>
        <v/>
      </c>
      <c r="F66" s="330">
        <f>_xlfn.MAXIFS(Errorlog_table[Year_Week_Number],Errorlog_table[AIR],A66)</f>
        <v>202525</v>
      </c>
      <c r="G66" s="330"/>
      <c r="H66" s="330">
        <f ca="1">COUNTIFS(Errorlog_table[AIR],Summary!A66,Errorlog_table[Year_Week_Number],"&gt;="&amp;$G$3,Errorlog_table[Year_Week_Number],"&lt;="&amp;$D$3)</f>
        <v>1</v>
      </c>
      <c r="I66" s="330">
        <f ca="1">COUNTIFS(Errorlog_table[AIR],Summary!A66,Errorlog_table[P_Hits],"Y",Errorlog_table[Year_Week_Number],"&gt;="&amp;$G$3,Errorlog_table[Year_Week_Number],"&lt;="&amp;$D$3)</f>
        <v>1</v>
      </c>
      <c r="J66" s="330">
        <f t="shared" ca="1" si="1"/>
        <v>1</v>
      </c>
      <c r="K66" s="330">
        <f ca="1">COUNTIFS(Errorlog_table[AIR],Summary!$A66,Errorlog_table[Year_Week_Number],"&gt;="&amp;$G$3,Errorlog_table[Year_Week_Number],"&lt;="&amp;$D$3,Errorlog_table[System],K$5)</f>
        <v>0</v>
      </c>
      <c r="L66" s="330">
        <f ca="1">COUNTIFS(Errorlog_table[AIR],Summary!$A66,Errorlog_table[Year_Week_Number],"&gt;="&amp;$G$3,Errorlog_table[Year_Week_Number],"&lt;="&amp;$D$3,Errorlog_table[System],L$5)</f>
        <v>1</v>
      </c>
      <c r="M66" s="330">
        <f ca="1">COUNTIFS(Errorlog_table[AIR],Summary!$A66,Errorlog_table[Year_Week_Number],"&gt;="&amp;$G$3,Errorlog_table[Year_Week_Number],"&lt;="&amp;$D$3,Errorlog_table[System],M$5)</f>
        <v>0</v>
      </c>
      <c r="N66" s="330">
        <f ca="1">COUNTIFS(Errorlog_table[AIR],Summary!$A66,Errorlog_table[Year_Week_Number],"&gt;="&amp;$G$3,Errorlog_table[Year_Week_Number],"&lt;="&amp;$D$3,Errorlog_table[System],K$5,Errorlog_table[P_Hits],"Y")</f>
        <v>0</v>
      </c>
      <c r="O66" s="330">
        <f ca="1">COUNTIFS(Errorlog_table[AIR],Summary!$A66,Errorlog_table[Year_Week_Number],"&gt;="&amp;$G$3,Errorlog_table[Year_Week_Number],"&lt;="&amp;$D$3,Errorlog_table[System],L$5,Errorlog_table[P_Hits],"Y")</f>
        <v>1</v>
      </c>
      <c r="P66" s="330">
        <f ca="1">COUNTIFS(Errorlog_table[AIR],Summary!$A66,Errorlog_table[Year_Week_Number],"&gt;="&amp;$G$3,Errorlog_table[Year_Week_Number],"&lt;="&amp;$D$3,Errorlog_table[System],M$5,Errorlog_table[P_Hits],"Y")</f>
        <v>0</v>
      </c>
      <c r="Q66" s="324" t="str">
        <f>_xlfn.XLOOKUP(A66,Errorlog_table[AIR],Errorlog_table[Air_issue_description],"not found")</f>
        <v>[SF-4514] ALSC NOK caused AS-055A lot aborts</v>
      </c>
    </row>
    <row r="67" spans="1:17" hidden="1">
      <c r="A67" s="333" t="str">
        <v>P691987</v>
      </c>
      <c r="B67" s="325" t="str">
        <f>_xlfn.XLOOKUP(A67,Errorlog_table[AIR],Errorlog_table[Root_Error],"NA",0)</f>
        <v>PG-73EA</v>
      </c>
      <c r="C67" s="330">
        <f>COUNTIFS(Errorlog_table[AIR],Summary!A67,Errorlog_table[P_Hits],"Y")</f>
        <v>1</v>
      </c>
      <c r="D67" s="330">
        <f>COUNTIFS(Errorlog_table[AIR],Summary!A67,Errorlog_table[U_Hits],"Y")</f>
        <v>1</v>
      </c>
      <c r="E67" s="330"/>
      <c r="F67" s="330">
        <f>_xlfn.MAXIFS(Errorlog_table[Year_Week_Number],Errorlog_table[AIR],A67)</f>
        <v>202526</v>
      </c>
      <c r="G67" s="330"/>
      <c r="H67" s="330">
        <f ca="1">COUNTIFS(Errorlog_table[AIR],Summary!A67,Errorlog_table[Year_Week_Number],"&gt;="&amp;$G$3,Errorlog_table[Year_Week_Number],"&lt;="&amp;$D$3)</f>
        <v>1</v>
      </c>
      <c r="I67" s="330">
        <f ca="1">COUNTIFS(Errorlog_table[AIR],Summary!A67,Errorlog_table[P_Hits],"Y",Errorlog_table[Year_Week_Number],"&gt;="&amp;$G$3,Errorlog_table[Year_Week_Number],"&lt;="&amp;$D$3)</f>
        <v>1</v>
      </c>
      <c r="J67" s="330">
        <f t="shared" ca="1" si="1"/>
        <v>1</v>
      </c>
      <c r="K67" s="330">
        <f ca="1">COUNTIFS(Errorlog_table[AIR],Summary!$A67,Errorlog_table[Year_Week_Number],"&gt;="&amp;$G$3,Errorlog_table[Year_Week_Number],"&lt;="&amp;$D$3,Errorlog_table[System],K$5)</f>
        <v>1</v>
      </c>
      <c r="L67" s="330">
        <f ca="1">COUNTIFS(Errorlog_table[AIR],Summary!$A67,Errorlog_table[Year_Week_Number],"&gt;="&amp;$G$3,Errorlog_table[Year_Week_Number],"&lt;="&amp;$D$3,Errorlog_table[System],L$5)</f>
        <v>0</v>
      </c>
      <c r="M67" s="330">
        <f ca="1">COUNTIFS(Errorlog_table[AIR],Summary!$A67,Errorlog_table[Year_Week_Number],"&gt;="&amp;$G$3,Errorlog_table[Year_Week_Number],"&lt;="&amp;$D$3,Errorlog_table[System],M$5)</f>
        <v>0</v>
      </c>
      <c r="N67" s="330">
        <f ca="1">COUNTIFS(Errorlog_table[AIR],Summary!$A67,Errorlog_table[Year_Week_Number],"&gt;="&amp;$G$3,Errorlog_table[Year_Week_Number],"&lt;="&amp;$D$3,Errorlog_table[System],K$5,Errorlog_table[P_Hits],"Y")</f>
        <v>1</v>
      </c>
      <c r="O67" s="330">
        <f ca="1">COUNTIFS(Errorlog_table[AIR],Summary!$A67,Errorlog_table[Year_Week_Number],"&gt;="&amp;$G$3,Errorlog_table[Year_Week_Number],"&lt;="&amp;$D$3,Errorlog_table[System],L$5,Errorlog_table[P_Hits],"Y")</f>
        <v>0</v>
      </c>
      <c r="P67" s="330">
        <f ca="1">COUNTIFS(Errorlog_table[AIR],Summary!$A67,Errorlog_table[Year_Week_Number],"&gt;="&amp;$G$3,Errorlog_table[Year_Week_Number],"&lt;="&amp;$D$3,Errorlog_table[System],M$5,Errorlog_table[P_Hits],"Y")</f>
        <v>0</v>
      </c>
      <c r="Q67" s="324" t="str">
        <f>_xlfn.XLOOKUP(A67,Errorlog_table[AIR],Errorlog_table[Air_issue_description],"not found")</f>
        <v>P691987 - (PTR1, XETR) IVR failed to init during reliability init/term cycling - Brake box internal</v>
      </c>
    </row>
    <row r="68" spans="1:17" hidden="1">
      <c r="A68" s="333" t="str">
        <v>P756444</v>
      </c>
      <c r="B68" s="325" t="str">
        <f>_xlfn.XLOOKUP(A68,Errorlog_table[AIR],Errorlog_table[Root_Error],"NA",0)</f>
        <v>KN-0605</v>
      </c>
      <c r="C68" s="330">
        <f>COUNTIFS(Errorlog_table[AIR],Summary!A68,Errorlog_table[P_Hits],"Y")</f>
        <v>1</v>
      </c>
      <c r="D68" s="330">
        <f>COUNTIFS(Errorlog_table[AIR],Summary!A68,Errorlog_table[U_Hits],"Y")</f>
        <v>1</v>
      </c>
      <c r="E68" s="330" t="str">
        <f ca="1">IF(COUNTIFS(Errorlog_table[AIR],Summary!A68,Errorlog_table[Year_Week_Number],"="&amp;$G$3,Errorlog_table[Year_Week_Number],"="&amp;$D$3)&gt;0,"X","")</f>
        <v/>
      </c>
      <c r="F68" s="330">
        <f>_xlfn.MAXIFS(Errorlog_table[Year_Week_Number],Errorlog_table[AIR],A68)</f>
        <v>202529</v>
      </c>
      <c r="G68" s="330"/>
      <c r="H68" s="330">
        <f ca="1">COUNTIFS(Errorlog_table[AIR],Summary!A68,Errorlog_table[Year_Week_Number],"&gt;="&amp;$G$3,Errorlog_table[Year_Week_Number],"&lt;="&amp;$D$3)</f>
        <v>1</v>
      </c>
      <c r="I68" s="330">
        <f ca="1">COUNTIFS(Errorlog_table[AIR],Summary!A68,Errorlog_table[P_Hits],"Y",Errorlog_table[Year_Week_Number],"&gt;="&amp;$G$3,Errorlog_table[Year_Week_Number],"&lt;="&amp;$D$3)</f>
        <v>1</v>
      </c>
      <c r="J68" s="330">
        <f t="shared" ca="1" si="1"/>
        <v>1</v>
      </c>
      <c r="K68" s="330">
        <f ca="1">COUNTIFS(Errorlog_table[AIR],Summary!$A68,Errorlog_table[Year_Week_Number],"&gt;="&amp;$G$3,Errorlog_table[Year_Week_Number],"&lt;="&amp;$D$3,Errorlog_table[System],K$5)</f>
        <v>1</v>
      </c>
      <c r="L68" s="330">
        <f ca="1">COUNTIFS(Errorlog_table[AIR],Summary!$A68,Errorlog_table[Year_Week_Number],"&gt;="&amp;$G$3,Errorlog_table[Year_Week_Number],"&lt;="&amp;$D$3,Errorlog_table[System],L$5)</f>
        <v>0</v>
      </c>
      <c r="M68" s="330">
        <f ca="1">COUNTIFS(Errorlog_table[AIR],Summary!$A68,Errorlog_table[Year_Week_Number],"&gt;="&amp;$G$3,Errorlog_table[Year_Week_Number],"&lt;="&amp;$D$3,Errorlog_table[System],M$5)</f>
        <v>0</v>
      </c>
      <c r="N68" s="330">
        <f ca="1">COUNTIFS(Errorlog_table[AIR],Summary!$A68,Errorlog_table[Year_Week_Number],"&gt;="&amp;$G$3,Errorlog_table[Year_Week_Number],"&lt;="&amp;$D$3,Errorlog_table[System],K$5,Errorlog_table[P_Hits],"Y")</f>
        <v>1</v>
      </c>
      <c r="O68" s="330">
        <f ca="1">COUNTIFS(Errorlog_table[AIR],Summary!$A68,Errorlog_table[Year_Week_Number],"&gt;="&amp;$G$3,Errorlog_table[Year_Week_Number],"&lt;="&amp;$D$3,Errorlog_table[System],L$5,Errorlog_table[P_Hits],"Y")</f>
        <v>0</v>
      </c>
      <c r="P68" s="330">
        <f ca="1">COUNTIFS(Errorlog_table[AIR],Summary!$A68,Errorlog_table[Year_Week_Number],"&gt;="&amp;$G$3,Errorlog_table[Year_Week_Number],"&lt;="&amp;$D$3,Errorlog_table[System],M$5,Errorlog_table[P_Hits],"Y")</f>
        <v>0</v>
      </c>
      <c r="Q68" s="324" t="str">
        <f>_xlfn.XLOOKUP(A68,Errorlog_table[AIR],Errorlog_table[Air_issue_description],"not found")</f>
        <v>[VHV][Proto2] NJTL fails on tunable laser HW error NJ-94D3</v>
      </c>
    </row>
    <row r="69" spans="1:17">
      <c r="A69" s="333" t="str">
        <v>P833115</v>
      </c>
      <c r="B69" s="325" t="str">
        <f>_xlfn.XLOOKUP(A69,Errorlog_table[AIR],Errorlog_table[Root_Error],"NA",0)</f>
        <v>#ND#</v>
      </c>
      <c r="C69" s="330">
        <f>COUNTIFS(Errorlog_table[AIR],Summary!A69,Errorlog_table[P_Hits],"Y")</f>
        <v>0</v>
      </c>
      <c r="D69" s="330">
        <f>COUNTIFS(Errorlog_table[AIR],Summary!A69,Errorlog_table[U_Hits],"Y")</f>
        <v>2</v>
      </c>
      <c r="E69" s="330" t="str">
        <f ca="1">IF(COUNTIFS(Errorlog_table[AIR],Summary!A69,Errorlog_table[Year_Week_Number],"="&amp;$G$3,Errorlog_table[Year_Week_Number],"="&amp;$D$3)&gt;0,"X","")</f>
        <v/>
      </c>
      <c r="F69" s="330">
        <f>_xlfn.MAXIFS(Errorlog_table[Year_Week_Number],Errorlog_table[AIR],A69)</f>
        <v>202529</v>
      </c>
      <c r="G69" s="330"/>
      <c r="H69" s="330">
        <f ca="1">COUNTIFS(Errorlog_table[AIR],Summary!A69,Errorlog_table[Year_Week_Number],"&gt;="&amp;$G$3,Errorlog_table[Year_Week_Number],"&lt;="&amp;$D$3)</f>
        <v>2</v>
      </c>
      <c r="I69" s="330">
        <f ca="1">COUNTIFS(Errorlog_table[AIR],Summary!A69,Errorlog_table[P_Hits],"Y",Errorlog_table[Year_Week_Number],"&gt;="&amp;$G$3,Errorlog_table[Year_Week_Number],"&lt;="&amp;$D$3)</f>
        <v>0</v>
      </c>
      <c r="J69" s="330">
        <f t="shared" ref="J69:J70" ca="1" si="2">G69*1.5+I69</f>
        <v>0</v>
      </c>
      <c r="K69" s="330">
        <f ca="1">COUNTIFS(Errorlog_table[AIR],Summary!$A69,Errorlog_table[Year_Week_Number],"&gt;="&amp;$G$3,Errorlog_table[Year_Week_Number],"&lt;="&amp;$D$3,Errorlog_table[System],K$5)</f>
        <v>0</v>
      </c>
      <c r="L69" s="330">
        <f ca="1">COUNTIFS(Errorlog_table[AIR],Summary!$A69,Errorlog_table[Year_Week_Number],"&gt;="&amp;$G$3,Errorlog_table[Year_Week_Number],"&lt;="&amp;$D$3,Errorlog_table[System],L$5)</f>
        <v>0</v>
      </c>
      <c r="M69" s="330">
        <f ca="1">COUNTIFS(Errorlog_table[AIR],Summary!$A69,Errorlog_table[Year_Week_Number],"&gt;="&amp;$G$3,Errorlog_table[Year_Week_Number],"&lt;="&amp;$D$3,Errorlog_table[System],M$5)</f>
        <v>2</v>
      </c>
      <c r="N69" s="330">
        <f ca="1">COUNTIFS(Errorlog_table[AIR],Summary!$A69,Errorlog_table[Year_Week_Number],"&gt;="&amp;$G$3,Errorlog_table[Year_Week_Number],"&lt;="&amp;$D$3,Errorlog_table[System],K$5,Errorlog_table[P_Hits],"Y")</f>
        <v>0</v>
      </c>
      <c r="O69" s="330">
        <f ca="1">COUNTIFS(Errorlog_table[AIR],Summary!$A69,Errorlog_table[Year_Week_Number],"&gt;="&amp;$G$3,Errorlog_table[Year_Week_Number],"&lt;="&amp;$D$3,Errorlog_table[System],L$5,Errorlog_table[P_Hits],"Y")</f>
        <v>0</v>
      </c>
      <c r="P69" s="330">
        <f ca="1">COUNTIFS(Errorlog_table[AIR],Summary!$A69,Errorlog_table[Year_Week_Number],"&gt;="&amp;$G$3,Errorlog_table[Year_Week_Number],"&lt;="&amp;$D$3,Errorlog_table[System],M$5,Errorlog_table[P_Hits],"Y")</f>
        <v>0</v>
      </c>
      <c r="Q69" s="324" t="str">
        <f>_xlfn.XLOOKUP(A69,Errorlog_table[AIR],Errorlog_table[Air_issue_description],"not found")</f>
        <v>EXE 5000 POB Mini-setup (Phase 1: enable automatic triggering, include tilt dependencies)</v>
      </c>
    </row>
    <row r="70" spans="1:17" hidden="1">
      <c r="A70" s="333" t="str">
        <v>P904073</v>
      </c>
      <c r="B70" s="325" t="str">
        <f>_xlfn.XLOOKUP(A70,Errorlog_table[AIR],Errorlog_table[Root_Error],"NA",0)</f>
        <v>LZ-321B</v>
      </c>
      <c r="C70" s="330">
        <f>COUNTIFS(Errorlog_table[AIR],Summary!A70,Errorlog_table[P_Hits],"Y")</f>
        <v>0</v>
      </c>
      <c r="D70" s="330">
        <f>COUNTIFS(Errorlog_table[AIR],Summary!A70,Errorlog_table[U_Hits],"Y")</f>
        <v>1</v>
      </c>
      <c r="E70" s="330" t="str">
        <f ca="1">IF(COUNTIFS(Errorlog_table[AIR],Summary!A70,Errorlog_table[Year_Week_Number],"="&amp;$G$3,Errorlog_table[Year_Week_Number],"="&amp;$D$3)&gt;0,"X","")</f>
        <v/>
      </c>
      <c r="F70" s="330">
        <f>_xlfn.MAXIFS(Errorlog_table[Year_Week_Number],Errorlog_table[AIR],A70)</f>
        <v>202529</v>
      </c>
      <c r="G70" s="330"/>
      <c r="H70" s="330">
        <f ca="1">COUNTIFS(Errorlog_table[AIR],Summary!A70,Errorlog_table[Year_Week_Number],"&gt;="&amp;$G$3,Errorlog_table[Year_Week_Number],"&lt;="&amp;$D$3)</f>
        <v>1</v>
      </c>
      <c r="I70" s="330">
        <f ca="1">COUNTIFS(Errorlog_table[AIR],Summary!A70,Errorlog_table[P_Hits],"Y",Errorlog_table[Year_Week_Number],"&gt;="&amp;$G$3,Errorlog_table[Year_Week_Number],"&lt;="&amp;$D$3)</f>
        <v>0</v>
      </c>
      <c r="J70" s="330">
        <f t="shared" ca="1" si="2"/>
        <v>0</v>
      </c>
      <c r="K70" s="330">
        <f ca="1">COUNTIFS(Errorlog_table[AIR],Summary!$A70,Errorlog_table[Year_Week_Number],"&gt;="&amp;$G$3,Errorlog_table[Year_Week_Number],"&lt;="&amp;$D$3,Errorlog_table[System],K$5)</f>
        <v>1</v>
      </c>
      <c r="L70" s="330">
        <f ca="1">COUNTIFS(Errorlog_table[AIR],Summary!$A70,Errorlog_table[Year_Week_Number],"&gt;="&amp;$G$3,Errorlog_table[Year_Week_Number],"&lt;="&amp;$D$3,Errorlog_table[System],L$5)</f>
        <v>0</v>
      </c>
      <c r="M70" s="330">
        <f ca="1">COUNTIFS(Errorlog_table[AIR],Summary!$A70,Errorlog_table[Year_Week_Number],"&gt;="&amp;$G$3,Errorlog_table[Year_Week_Number],"&lt;="&amp;$D$3,Errorlog_table[System],M$5)</f>
        <v>0</v>
      </c>
      <c r="N70" s="330">
        <f ca="1">COUNTIFS(Errorlog_table[AIR],Summary!$A70,Errorlog_table[Year_Week_Number],"&gt;="&amp;$G$3,Errorlog_table[Year_Week_Number],"&lt;="&amp;$D$3,Errorlog_table[System],K$5,Errorlog_table[P_Hits],"Y")</f>
        <v>0</v>
      </c>
      <c r="O70" s="330">
        <f ca="1">COUNTIFS(Errorlog_table[AIR],Summary!$A70,Errorlog_table[Year_Week_Number],"&gt;="&amp;$G$3,Errorlog_table[Year_Week_Number],"&lt;="&amp;$D$3,Errorlog_table[System],L$5,Errorlog_table[P_Hits],"Y")</f>
        <v>0</v>
      </c>
      <c r="P70" s="330">
        <f ca="1">COUNTIFS(Errorlog_table[AIR],Summary!$A70,Errorlog_table[Year_Week_Number],"&gt;="&amp;$G$3,Errorlog_table[Year_Week_Number],"&lt;="&amp;$D$3,Errorlog_table[System],M$5,Errorlog_table[P_Hits],"Y")</f>
        <v>0</v>
      </c>
      <c r="Q70" s="324" t="str">
        <f>_xlfn.XLOOKUP(A70,Errorlog_table[AIR],Errorlog_table[Air_issue_description],"not found")</f>
        <v>LZ-321B UVLS purge pressure Oos during lot production. would only get wafer reject. Need to escalate to lot abort</v>
      </c>
    </row>
    <row r="71" spans="1:17" hidden="1">
      <c r="A71" s="333" t="str">
        <v>P907669</v>
      </c>
      <c r="B71" s="325" t="str">
        <f>_xlfn.XLOOKUP(A71,Errorlog_table[AIR],Errorlog_table[Root_Error],"NA",0)</f>
        <v>RU-14C5</v>
      </c>
      <c r="C71" s="330">
        <f>COUNTIFS(Errorlog_table[AIR],Summary!A71,Errorlog_table[P_Hits],"Y")</f>
        <v>2</v>
      </c>
      <c r="D71" s="330">
        <f>COUNTIFS(Errorlog_table[AIR],Summary!A71,Errorlog_table[U_Hits],"Y")</f>
        <v>2</v>
      </c>
      <c r="E71" s="330" t="str">
        <f ca="1">IF(COUNTIFS(Errorlog_table[AIR],Summary!A71,Errorlog_table[Year_Week_Number],"="&amp;$G$3,Errorlog_table[Year_Week_Number],"="&amp;$D$3)&gt;0,"X","")</f>
        <v/>
      </c>
      <c r="F71" s="330">
        <f>_xlfn.MAXIFS(Errorlog_table[Year_Week_Number],Errorlog_table[AIR],A71)</f>
        <v>202530</v>
      </c>
      <c r="G71" s="330"/>
      <c r="H71" s="330" cm="1">
        <f t="array" aca="1" ref="H71" ca="1">COUNTIFS(Errorlog_table[AIR],_xlfn.ANCHORARRAY(Summary!A71),Errorlog_table[Year_Week_Number],"&gt;="&amp;$G$3,Errorlog_table[Year_Week_Number],"&lt;="&amp;$D$3)</f>
        <v>0</v>
      </c>
      <c r="I71" s="330">
        <f ca="1">COUNTIFS(Errorlog_table[AIR],Summary!A71,Errorlog_table[P_Hits],"Y",Errorlog_table[Year_Week_Number],"&gt;="&amp;$G$3,Errorlog_table[Year_Week_Number],"&lt;="&amp;$D$3)</f>
        <v>2</v>
      </c>
      <c r="J71" s="330">
        <f t="shared" ref="J71" ca="1" si="3">G71*1.5+I71</f>
        <v>2</v>
      </c>
      <c r="K71" s="330">
        <f ca="1">COUNTIFS(Errorlog_table[AIR],Summary!$A71,Errorlog_table[Year_Week_Number],"&gt;="&amp;$G$3,Errorlog_table[Year_Week_Number],"&lt;="&amp;$D$3,Errorlog_table[System],K$5)</f>
        <v>2</v>
      </c>
      <c r="L71" s="330">
        <f ca="1">COUNTIFS(Errorlog_table[AIR],Summary!$A71,Errorlog_table[Year_Week_Number],"&gt;="&amp;$G$3,Errorlog_table[Year_Week_Number],"&lt;="&amp;$D$3,Errorlog_table[System],L$5)</f>
        <v>0</v>
      </c>
      <c r="M71" s="330">
        <f ca="1">COUNTIFS(Errorlog_table[AIR],Summary!$A71,Errorlog_table[Year_Week_Number],"&gt;="&amp;$G$3,Errorlog_table[Year_Week_Number],"&lt;="&amp;$D$3,Errorlog_table[System],M$5)</f>
        <v>0</v>
      </c>
      <c r="N71" s="330">
        <f ca="1">COUNTIFS(Errorlog_table[AIR],Summary!$A71,Errorlog_table[Year_Week_Number],"&gt;="&amp;$G$3,Errorlog_table[Year_Week_Number],"&lt;="&amp;$D$3,Errorlog_table[System],K$5,Errorlog_table[P_Hits],"Y")</f>
        <v>2</v>
      </c>
      <c r="O71" s="330">
        <f ca="1">COUNTIFS(Errorlog_table[AIR],Summary!$A71,Errorlog_table[Year_Week_Number],"&gt;="&amp;$G$3,Errorlog_table[Year_Week_Number],"&lt;="&amp;$D$3,Errorlog_table[System],L$5,Errorlog_table[P_Hits],"Y")</f>
        <v>0</v>
      </c>
      <c r="P71" s="330">
        <f ca="1">COUNTIFS(Errorlog_table[AIR],Summary!$A71,Errorlog_table[Year_Week_Number],"&gt;="&amp;$G$3,Errorlog_table[Year_Week_Number],"&lt;="&amp;$D$3,Errorlog_table[System],M$5,Errorlog_table[P_Hits],"Y")</f>
        <v>0</v>
      </c>
      <c r="Q71" s="324" t="str">
        <f>_xlfn.XLOOKUP(A71,Errorlog_table[AIR],Errorlog_table[Air_issue_description],"not found")</f>
        <v>Reticle sticks to RS during Unload due to charged RS clamp and/or reticle backside</v>
      </c>
    </row>
    <row r="72" spans="1:17" hidden="1">
      <c r="A72" s="333" t="str">
        <v>P904929</v>
      </c>
      <c r="B72" s="325" t="str">
        <f>_xlfn.XLOOKUP(A72,Errorlog_table[AIR],Errorlog_table[Root_Error],"NA",0)</f>
        <v>RU-1B75</v>
      </c>
      <c r="C72" s="330">
        <f>COUNTIFS(Errorlog_table[AIR],Summary!A72,Errorlog_table[P_Hits],"Y")</f>
        <v>1</v>
      </c>
      <c r="D72" s="330">
        <f>COUNTIFS(Errorlog_table[AIR],Summary!A72,Errorlog_table[U_Hits],"Y")</f>
        <v>1</v>
      </c>
      <c r="E72" s="330" t="str">
        <f ca="1">IF(COUNTIFS(Errorlog_table[AIR],Summary!A72,Errorlog_table[Year_Week_Number],"="&amp;$G$3,Errorlog_table[Year_Week_Number],"="&amp;$D$3)&gt;0,"X","")</f>
        <v/>
      </c>
      <c r="F72" s="330">
        <f>_xlfn.MAXIFS(Errorlog_table[Year_Week_Number],Errorlog_table[AIR],A72)</f>
        <v>202530</v>
      </c>
      <c r="G72" s="330"/>
      <c r="H72" s="330">
        <f ca="1">COUNTIFS(Errorlog_table[AIR],Summary!A72,Errorlog_table[Year_Week_Number],"&gt;="&amp;$G$3,Errorlog_table[Year_Week_Number],"&lt;="&amp;$D$3)</f>
        <v>1</v>
      </c>
      <c r="I72" s="330">
        <f ca="1">COUNTIFS(Errorlog_table[AIR],Summary!A72,Errorlog_table[P_Hits],"Y",Errorlog_table[Year_Week_Number],"&gt;="&amp;$G$3,Errorlog_table[Year_Week_Number],"&lt;="&amp;$D$3)</f>
        <v>1</v>
      </c>
      <c r="J72" s="330"/>
      <c r="K72" s="330">
        <f ca="1">COUNTIFS(Errorlog_table[AIR],Summary!$A72,Errorlog_table[Year_Week_Number],"&gt;="&amp;$G$3,Errorlog_table[Year_Week_Number],"&lt;="&amp;$D$3,Errorlog_table[System],K$5)</f>
        <v>0</v>
      </c>
      <c r="L72" s="330">
        <f ca="1">COUNTIFS(Errorlog_table[AIR],Summary!$A72,Errorlog_table[Year_Week_Number],"&gt;="&amp;$G$3,Errorlog_table[Year_Week_Number],"&lt;="&amp;$D$3,Errorlog_table[System],L$5)</f>
        <v>1</v>
      </c>
      <c r="M72" s="330">
        <f ca="1">COUNTIFS(Errorlog_table[AIR],Summary!$A72,Errorlog_table[Year_Week_Number],"&gt;="&amp;$G$3,Errorlog_table[Year_Week_Number],"&lt;="&amp;$D$3,Errorlog_table[System],M$5)</f>
        <v>0</v>
      </c>
      <c r="N72" s="330">
        <f ca="1">COUNTIFS(Errorlog_table[AIR],Summary!$A72,Errorlog_table[Year_Week_Number],"&gt;="&amp;$G$3,Errorlog_table[Year_Week_Number],"&lt;="&amp;$D$3,Errorlog_table[System],K$5,Errorlog_table[P_Hits],"Y")</f>
        <v>0</v>
      </c>
      <c r="O72" s="330">
        <f ca="1">COUNTIFS(Errorlog_table[AIR],Summary!$A72,Errorlog_table[Year_Week_Number],"&gt;="&amp;$G$3,Errorlog_table[Year_Week_Number],"&lt;="&amp;$D$3,Errorlog_table[System],L$5,Errorlog_table[P_Hits],"Y")</f>
        <v>1</v>
      </c>
      <c r="P72" s="330">
        <f ca="1">COUNTIFS(Errorlog_table[AIR],Summary!$A72,Errorlog_table[Year_Week_Number],"&gt;="&amp;$G$3,Errorlog_table[Year_Week_Number],"&lt;="&amp;$D$3,Errorlog_table[System],M$5,Errorlog_table[P_Hits],"Y")</f>
        <v>0</v>
      </c>
      <c r="Q72" s="324" t="str">
        <f>_xlfn.XLOOKUP(A72,Errorlog_table[AIR],Errorlog_table[Air_issue_description],"not found")</f>
        <v>mGY86 SWD RPAS performance is out of population</v>
      </c>
    </row>
    <row r="73" spans="1:17" hidden="1">
      <c r="A73" s="333" t="str">
        <v>P892057</v>
      </c>
      <c r="B73" s="325" t="str">
        <f>_xlfn.XLOOKUP(A73,Errorlog_table[AIR],Errorlog_table[Root_Error],"NA",0)</f>
        <v>RU-2B23</v>
      </c>
      <c r="C73" s="330">
        <f>COUNTIFS(Errorlog_table[AIR],Summary!A73,Errorlog_table[P_Hits],"Y")</f>
        <v>0</v>
      </c>
      <c r="D73" s="330">
        <f>COUNTIFS(Errorlog_table[AIR],Summary!A73,Errorlog_table[U_Hits],"Y")</f>
        <v>1</v>
      </c>
      <c r="E73" s="330" t="str">
        <f ca="1">IF(COUNTIFS(Errorlog_table[AIR],Summary!A73,Errorlog_table[Year_Week_Number],"="&amp;$G$3,Errorlog_table[Year_Week_Number],"="&amp;$D$3)&gt;0,"X","")</f>
        <v/>
      </c>
      <c r="F73" s="330">
        <f>_xlfn.MAXIFS(Errorlog_table[Year_Week_Number],Errorlog_table[AIR],A73)</f>
        <v>202530</v>
      </c>
      <c r="G73" s="330"/>
      <c r="H73" s="330">
        <f ca="1">COUNTIFS(Errorlog_table[AIR],Summary!A73,Errorlog_table[Year_Week_Number],"&gt;="&amp;$G$3,Errorlog_table[Year_Week_Number],"&lt;="&amp;$D$3)</f>
        <v>1</v>
      </c>
      <c r="I73" s="330">
        <f ca="1">COUNTIFS(Errorlog_table[AIR],Summary!A73,Errorlog_table[P_Hits],"Y",Errorlog_table[Year_Week_Number],"&gt;="&amp;$G$3,Errorlog_table[Year_Week_Number],"&lt;="&amp;$D$3)</f>
        <v>0</v>
      </c>
      <c r="J73" s="330"/>
      <c r="K73" s="330">
        <f ca="1">COUNTIFS(Errorlog_table[AIR],Summary!$A73,Errorlog_table[Year_Week_Number],"&gt;="&amp;$G$3,Errorlog_table[Year_Week_Number],"&lt;="&amp;$D$3,Errorlog_table[System],K$5)</f>
        <v>0</v>
      </c>
      <c r="L73" s="330">
        <f ca="1">COUNTIFS(Errorlog_table[AIR],Summary!$A73,Errorlog_table[Year_Week_Number],"&gt;="&amp;$G$3,Errorlog_table[Year_Week_Number],"&lt;="&amp;$D$3,Errorlog_table[System],L$5)</f>
        <v>0</v>
      </c>
      <c r="M73" s="330">
        <f ca="1">COUNTIFS(Errorlog_table[AIR],Summary!$A73,Errorlog_table[Year_Week_Number],"&gt;="&amp;$G$3,Errorlog_table[Year_Week_Number],"&lt;="&amp;$D$3,Errorlog_table[System],M$5)</f>
        <v>1</v>
      </c>
      <c r="N73" s="330">
        <f ca="1">COUNTIFS(Errorlog_table[AIR],Summary!$A73,Errorlog_table[Year_Week_Number],"&gt;="&amp;$G$3,Errorlog_table[Year_Week_Number],"&lt;="&amp;$D$3,Errorlog_table[System],K$5,Errorlog_table[P_Hits],"Y")</f>
        <v>0</v>
      </c>
      <c r="O73" s="330">
        <f ca="1">COUNTIFS(Errorlog_table[AIR],Summary!$A73,Errorlog_table[Year_Week_Number],"&gt;="&amp;$G$3,Errorlog_table[Year_Week_Number],"&lt;="&amp;$D$3,Errorlog_table[System],L$5,Errorlog_table[P_Hits],"Y")</f>
        <v>0</v>
      </c>
      <c r="P73" s="330">
        <f ca="1">COUNTIFS(Errorlog_table[AIR],Summary!$A73,Errorlog_table[Year_Week_Number],"&gt;="&amp;$G$3,Errorlog_table[Year_Week_Number],"&lt;="&amp;$D$3,Errorlog_table[System],M$5,Errorlog_table[P_Hits],"Y")</f>
        <v>0</v>
      </c>
      <c r="Q73" s="324" t="str">
        <f>_xlfn.XLOOKUP(A73,Errorlog_table[AIR],Errorlog_table[Air_issue_description],"not found")</f>
        <v>System suffer RH-8550 data store mismatch after unload POD from LDPT2</v>
      </c>
    </row>
    <row r="74" spans="1:17" hidden="1">
      <c r="A74" s="333" t="str">
        <v>P906475</v>
      </c>
      <c r="B74" s="325" t="str">
        <f>_xlfn.XLOOKUP(A74,Errorlog_table[AIR],Errorlog_table[Root_Error],"NA",0)</f>
        <v>RH-8550</v>
      </c>
      <c r="C74" s="330">
        <f>COUNTIFS(Errorlog_table[AIR],Summary!A74,Errorlog_table[P_Hits],"Y")</f>
        <v>0</v>
      </c>
      <c r="D74" s="330">
        <f>COUNTIFS(Errorlog_table[AIR],Summary!A74,Errorlog_table[U_Hits],"Y")</f>
        <v>1</v>
      </c>
      <c r="E74" s="330" t="str">
        <f ca="1">IF(COUNTIFS(Errorlog_table[AIR],Summary!A74,Errorlog_table[Year_Week_Number],"="&amp;$G$3,Errorlog_table[Year_Week_Number],"="&amp;$D$3)&gt;0,"X","")</f>
        <v/>
      </c>
      <c r="F74" s="330">
        <f>_xlfn.MAXIFS(Errorlog_table[Year_Week_Number],Errorlog_table[AIR],A74)</f>
        <v>202530</v>
      </c>
      <c r="G74" s="330"/>
      <c r="H74" s="330">
        <f ca="1">COUNTIFS(Errorlog_table[AIR],Summary!A74,Errorlog_table[Year_Week_Number],"&gt;="&amp;$G$3,Errorlog_table[Year_Week_Number],"&lt;="&amp;$D$3)</f>
        <v>1</v>
      </c>
      <c r="I74" s="330">
        <f ca="1">COUNTIFS(Errorlog_table[AIR],Summary!A74,Errorlog_table[P_Hits],"Y",Errorlog_table[Year_Week_Number],"&gt;="&amp;$G$3,Errorlog_table[Year_Week_Number],"&lt;="&amp;$D$3)</f>
        <v>0</v>
      </c>
      <c r="J74" s="330"/>
      <c r="K74" s="330">
        <f ca="1">COUNTIFS(Errorlog_table[AIR],Summary!$A74,Errorlog_table[Year_Week_Number],"&gt;="&amp;$G$3,Errorlog_table[Year_Week_Number],"&lt;="&amp;$D$3,Errorlog_table[System],K$5)</f>
        <v>0</v>
      </c>
      <c r="L74" s="330">
        <f ca="1">COUNTIFS(Errorlog_table[AIR],Summary!$A74,Errorlog_table[Year_Week_Number],"&gt;="&amp;$G$3,Errorlog_table[Year_Week_Number],"&lt;="&amp;$D$3,Errorlog_table[System],L$5)</f>
        <v>0</v>
      </c>
      <c r="M74" s="330">
        <f ca="1">COUNTIFS(Errorlog_table[AIR],Summary!$A74,Errorlog_table[Year_Week_Number],"&gt;="&amp;$G$3,Errorlog_table[Year_Week_Number],"&lt;="&amp;$D$3,Errorlog_table[System],M$5)</f>
        <v>1</v>
      </c>
      <c r="N74" s="330">
        <f ca="1">COUNTIFS(Errorlog_table[AIR],Summary!$A74,Errorlog_table[Year_Week_Number],"&gt;="&amp;$G$3,Errorlog_table[Year_Week_Number],"&lt;="&amp;$D$3,Errorlog_table[System],K$5,Errorlog_table[P_Hits],"Y")</f>
        <v>0</v>
      </c>
      <c r="O74" s="330">
        <f ca="1">COUNTIFS(Errorlog_table[AIR],Summary!$A74,Errorlog_table[Year_Week_Number],"&gt;="&amp;$G$3,Errorlog_table[Year_Week_Number],"&lt;="&amp;$D$3,Errorlog_table[System],L$5,Errorlog_table[P_Hits],"Y")</f>
        <v>0</v>
      </c>
      <c r="P74" s="330">
        <f ca="1">COUNTIFS(Errorlog_table[AIR],Summary!$A74,Errorlog_table[Year_Week_Number],"&gt;="&amp;$G$3,Errorlog_table[Year_Week_Number],"&lt;="&amp;$D$3,Errorlog_table[System],M$5,Errorlog_table[P_Hits],"Y")</f>
        <v>0</v>
      </c>
      <c r="Q74" s="324" t="str">
        <f>_xlfn.XLOOKUP(A74,Errorlog_table[AIR],Errorlog_table[Air_issue_description],"not found")</f>
        <v>System suffer RH-8550 data store mismatch after unload POD from LDPT2</v>
      </c>
    </row>
    <row r="75" spans="1:17">
      <c r="A75" s="333" t="str">
        <v>P906799</v>
      </c>
      <c r="B75" s="325" t="str">
        <f>_xlfn.XLOOKUP(A75,Errorlog_table[AIR],Errorlog_table[Root_Error],"NA",0)</f>
        <v>RU-1BA5</v>
      </c>
      <c r="C75" s="330">
        <f>COUNTIFS(Errorlog_table[AIR],Summary!A75,Errorlog_table[P_Hits],"Y")</f>
        <v>2</v>
      </c>
      <c r="D75" s="330">
        <f>COUNTIFS(Errorlog_table[AIR],Summary!A75,Errorlog_table[U_Hits],"Y")</f>
        <v>2</v>
      </c>
      <c r="E75" s="330" t="str">
        <f ca="1">IF(COUNTIFS(Errorlog_table[AIR],Summary!A75,Errorlog_table[Year_Week_Number],"="&amp;$G$3,Errorlog_table[Year_Week_Number],"="&amp;$D$3)&gt;0,"X","")</f>
        <v/>
      </c>
      <c r="F75" s="330">
        <f>_xlfn.MAXIFS(Errorlog_table[Year_Week_Number],Errorlog_table[AIR],A75)</f>
        <v>202531</v>
      </c>
      <c r="G75" s="330"/>
      <c r="H75" s="330">
        <f ca="1">COUNTIFS(Errorlog_table[AIR],Summary!A75,Errorlog_table[Year_Week_Number],"&gt;="&amp;$G$3,Errorlog_table[Year_Week_Number],"&lt;="&amp;$D$3)</f>
        <v>2</v>
      </c>
      <c r="I75" s="330">
        <f ca="1">COUNTIFS(Errorlog_table[AIR],Summary!A75,Errorlog_table[P_Hits],"Y",Errorlog_table[Year_Week_Number],"&gt;="&amp;$G$3,Errorlog_table[Year_Week_Number],"&lt;="&amp;$D$3)</f>
        <v>2</v>
      </c>
      <c r="J75" s="330">
        <f t="shared" ref="J75:J89" ca="1" si="4">G75*1.5+I75</f>
        <v>2</v>
      </c>
      <c r="K75" s="330">
        <f ca="1">COUNTIFS(Errorlog_table[AIR],Summary!$A75,Errorlog_table[Year_Week_Number],"&gt;="&amp;$G$3,Errorlog_table[Year_Week_Number],"&lt;="&amp;$D$3,Errorlog_table[System],K$5)</f>
        <v>0</v>
      </c>
      <c r="L75" s="330">
        <f ca="1">COUNTIFS(Errorlog_table[AIR],Summary!$A75,Errorlog_table[Year_Week_Number],"&gt;="&amp;$G$3,Errorlog_table[Year_Week_Number],"&lt;="&amp;$D$3,Errorlog_table[System],L$5)</f>
        <v>0</v>
      </c>
      <c r="M75" s="330">
        <f ca="1">COUNTIFS(Errorlog_table[AIR],Summary!$A75,Errorlog_table[Year_Week_Number],"&gt;="&amp;$G$3,Errorlog_table[Year_Week_Number],"&lt;="&amp;$D$3,Errorlog_table[System],M$5)</f>
        <v>2</v>
      </c>
      <c r="N75" s="330">
        <f ca="1">COUNTIFS(Errorlog_table[AIR],Summary!$A75,Errorlog_table[Year_Week_Number],"&gt;="&amp;$G$3,Errorlog_table[Year_Week_Number],"&lt;="&amp;$D$3,Errorlog_table[System],K$5,Errorlog_table[P_Hits],"Y")</f>
        <v>0</v>
      </c>
      <c r="O75" s="330">
        <f ca="1">COUNTIFS(Errorlog_table[AIR],Summary!$A75,Errorlog_table[Year_Week_Number],"&gt;="&amp;$G$3,Errorlog_table[Year_Week_Number],"&lt;="&amp;$D$3,Errorlog_table[System],L$5,Errorlog_table[P_Hits],"Y")</f>
        <v>0</v>
      </c>
      <c r="P75" s="330">
        <f ca="1">COUNTIFS(Errorlog_table[AIR],Summary!$A75,Errorlog_table[Year_Week_Number],"&gt;="&amp;$G$3,Errorlog_table[Year_Week_Number],"&lt;="&amp;$D$3,Errorlog_table[System],M$5,Errorlog_table[P_Hits],"Y")</f>
        <v>2</v>
      </c>
      <c r="Q75" s="324" t="str">
        <f>_xlfn.XLOOKUP(A75,Errorlog_table[AIR],Errorlog_table[Air_issue_description],"not found")</f>
        <v xml:space="preserve"> [GT69] RPAS Pre-alignment step skipped during lot operation/RetEx fails because reticle pre-align not completed </v>
      </c>
    </row>
    <row r="76" spans="1:17">
      <c r="A76" s="333" t="str">
        <v>P907514</v>
      </c>
      <c r="B76" s="325" t="str">
        <f>_xlfn.XLOOKUP(A76,Errorlog_table[AIR],Errorlog_table[Root_Error],"NA",0)</f>
        <v>UR-04AE</v>
      </c>
      <c r="C76" s="330">
        <f>COUNTIFS(Errorlog_table[AIR],Summary!A76,Errorlog_table[P_Hits],"Y")</f>
        <v>0</v>
      </c>
      <c r="D76" s="330">
        <f>COUNTIFS(Errorlog_table[AIR],Summary!A76,Errorlog_table[U_Hits],"Y")</f>
        <v>0</v>
      </c>
      <c r="E76" s="330" t="str">
        <f ca="1">IF(COUNTIFS(Errorlog_table[AIR],Summary!A76,Errorlog_table[Year_Week_Number],"="&amp;$G$3,Errorlog_table[Year_Week_Number],"="&amp;$D$3)&gt;0,"X","")</f>
        <v/>
      </c>
      <c r="F76" s="330">
        <f>_xlfn.MAXIFS(Errorlog_table[Year_Week_Number],Errorlog_table[AIR],A76)</f>
        <v>202531</v>
      </c>
      <c r="G76" s="330"/>
      <c r="H76" s="330">
        <f ca="1">COUNTIFS(Errorlog_table[AIR],Summary!A76,Errorlog_table[Year_Week_Number],"&gt;="&amp;$G$3,Errorlog_table[Year_Week_Number],"&lt;="&amp;$D$3)</f>
        <v>2</v>
      </c>
      <c r="I76" s="330">
        <f ca="1">COUNTIFS(Errorlog_table[AIR],Summary!A76,Errorlog_table[P_Hits],"Y",Errorlog_table[Year_Week_Number],"&gt;="&amp;$G$3,Errorlog_table[Year_Week_Number],"&lt;="&amp;$D$3)</f>
        <v>0</v>
      </c>
      <c r="J76" s="330">
        <f t="shared" ca="1" si="4"/>
        <v>0</v>
      </c>
      <c r="K76" s="330">
        <f ca="1">COUNTIFS(Errorlog_table[AIR],Summary!$A76,Errorlog_table[Year_Week_Number],"&gt;="&amp;$G$3,Errorlog_table[Year_Week_Number],"&lt;="&amp;$D$3,Errorlog_table[System],K$5)</f>
        <v>0</v>
      </c>
      <c r="L76" s="330">
        <f ca="1">COUNTIFS(Errorlog_table[AIR],Summary!$A76,Errorlog_table[Year_Week_Number],"&gt;="&amp;$G$3,Errorlog_table[Year_Week_Number],"&lt;="&amp;$D$3,Errorlog_table[System],L$5)</f>
        <v>0</v>
      </c>
      <c r="M76" s="330">
        <f ca="1">COUNTIFS(Errorlog_table[AIR],Summary!$A76,Errorlog_table[Year_Week_Number],"&gt;="&amp;$G$3,Errorlog_table[Year_Week_Number],"&lt;="&amp;$D$3,Errorlog_table[System],M$5)</f>
        <v>2</v>
      </c>
      <c r="N76" s="330">
        <f ca="1">COUNTIFS(Errorlog_table[AIR],Summary!$A76,Errorlog_table[Year_Week_Number],"&gt;="&amp;$G$3,Errorlog_table[Year_Week_Number],"&lt;="&amp;$D$3,Errorlog_table[System],K$5,Errorlog_table[P_Hits],"Y")</f>
        <v>0</v>
      </c>
      <c r="O76" s="330">
        <f ca="1">COUNTIFS(Errorlog_table[AIR],Summary!$A76,Errorlog_table[Year_Week_Number],"&gt;="&amp;$G$3,Errorlog_table[Year_Week_Number],"&lt;="&amp;$D$3,Errorlog_table[System],L$5,Errorlog_table[P_Hits],"Y")</f>
        <v>0</v>
      </c>
      <c r="P76" s="330">
        <f ca="1">COUNTIFS(Errorlog_table[AIR],Summary!$A76,Errorlog_table[Year_Week_Number],"&gt;="&amp;$G$3,Errorlog_table[Year_Week_Number],"&lt;="&amp;$D$3,Errorlog_table[System],M$5,Errorlog_table[P_Hits],"Y")</f>
        <v>0</v>
      </c>
      <c r="Q76" s="324" t="str">
        <f>_xlfn.XLOOKUP(A76,Errorlog_table[AIR],Errorlog_table[Air_issue_description],"not found")</f>
        <v xml:space="preserve">UR-04AE mGT69 IPT hang up/Database integrity issue: #reticles </v>
      </c>
    </row>
    <row r="77" spans="1:17">
      <c r="A77" s="333" t="str">
        <v>P915697</v>
      </c>
      <c r="B77" s="325" t="str">
        <f>_xlfn.XLOOKUP(A77,Errorlog_table[AIR],Errorlog_table[Root_Error],"NA",0)</f>
        <v>DW-5C01</v>
      </c>
      <c r="C77" s="330">
        <f>COUNTIFS(Errorlog_table[AIR],Summary!A77,Errorlog_table[P_Hits],"Y")</f>
        <v>2</v>
      </c>
      <c r="D77" s="330">
        <f>COUNTIFS(Errorlog_table[AIR],Summary!A77,Errorlog_table[U_Hits],"Y")</f>
        <v>2</v>
      </c>
      <c r="E77" s="330" t="str">
        <f ca="1">IF(COUNTIFS(Errorlog_table[AIR],Summary!A77,Errorlog_table[Year_Week_Number],"="&amp;$G$3,Errorlog_table[Year_Week_Number],"="&amp;$D$3)&gt;0,"X","")</f>
        <v/>
      </c>
      <c r="F77" s="330">
        <f>_xlfn.MAXIFS(Errorlog_table[Year_Week_Number],Errorlog_table[AIR],A77)</f>
        <v>202533</v>
      </c>
      <c r="G77" s="330"/>
      <c r="H77" s="330">
        <f ca="1">COUNTIFS(Errorlog_table[AIR],Summary!A77,Errorlog_table[Year_Week_Number],"&gt;="&amp;$G$3,Errorlog_table[Year_Week_Number],"&lt;="&amp;$D$3)</f>
        <v>2</v>
      </c>
      <c r="I77" s="330">
        <f ca="1">COUNTIFS(Errorlog_table[AIR],Summary!A77,Errorlog_table[P_Hits],"Y",Errorlog_table[Year_Week_Number],"&gt;="&amp;$G$3,Errorlog_table[Year_Week_Number],"&lt;="&amp;$D$3)</f>
        <v>2</v>
      </c>
      <c r="J77" s="330">
        <f t="shared" ca="1" si="4"/>
        <v>2</v>
      </c>
      <c r="K77" s="330">
        <f ca="1">COUNTIFS(Errorlog_table[AIR],Summary!$A77,Errorlog_table[Year_Week_Number],"&gt;="&amp;$G$3,Errorlog_table[Year_Week_Number],"&lt;="&amp;$D$3,Errorlog_table[System],K$5)</f>
        <v>0</v>
      </c>
      <c r="L77" s="330">
        <f ca="1">COUNTIFS(Errorlog_table[AIR],Summary!$A77,Errorlog_table[Year_Week_Number],"&gt;="&amp;$G$3,Errorlog_table[Year_Week_Number],"&lt;="&amp;$D$3,Errorlog_table[System],L$5)</f>
        <v>0</v>
      </c>
      <c r="M77" s="330">
        <f ca="1">COUNTIFS(Errorlog_table[AIR],Summary!$A77,Errorlog_table[Year_Week_Number],"&gt;="&amp;$G$3,Errorlog_table[Year_Week_Number],"&lt;="&amp;$D$3,Errorlog_table[System],M$5)</f>
        <v>2</v>
      </c>
      <c r="N77" s="330">
        <f ca="1">COUNTIFS(Errorlog_table[AIR],Summary!$A77,Errorlog_table[Year_Week_Number],"&gt;="&amp;$G$3,Errorlog_table[Year_Week_Number],"&lt;="&amp;$D$3,Errorlog_table[System],K$5,Errorlog_table[P_Hits],"Y")</f>
        <v>0</v>
      </c>
      <c r="O77" s="330">
        <f ca="1">COUNTIFS(Errorlog_table[AIR],Summary!$A77,Errorlog_table[Year_Week_Number],"&gt;="&amp;$G$3,Errorlog_table[Year_Week_Number],"&lt;="&amp;$D$3,Errorlog_table[System],L$5,Errorlog_table[P_Hits],"Y")</f>
        <v>0</v>
      </c>
      <c r="P77" s="330">
        <f ca="1">COUNTIFS(Errorlog_table[AIR],Summary!$A77,Errorlog_table[Year_Week_Number],"&gt;="&amp;$G$3,Errorlog_table[Year_Week_Number],"&lt;="&amp;$D$3,Errorlog_table[System],M$5,Errorlog_table[P_Hits],"Y")</f>
        <v>2</v>
      </c>
      <c r="Q77" s="324" t="str">
        <f>_xlfn.XLOOKUP(A77,Errorlog_table[AIR],Errorlog_table[Air_issue_description],"not found")</f>
        <v>not found</v>
      </c>
    </row>
    <row r="78" spans="1:17" hidden="1">
      <c r="A78" s="333" t="str">
        <v>P809193</v>
      </c>
      <c r="B78" s="325" t="str">
        <f>_xlfn.XLOOKUP(A78,Errorlog_table[AIR],Errorlog_table[Root_Error],"NA",0)</f>
        <v>SM-2307</v>
      </c>
      <c r="C78" s="330">
        <f>COUNTIFS(Errorlog_table[AIR],Summary!A78,Errorlog_table[P_Hits],"Y")</f>
        <v>1</v>
      </c>
      <c r="D78" s="330">
        <f>COUNTIFS(Errorlog_table[AIR],Summary!A78,Errorlog_table[U_Hits],"Y")</f>
        <v>1</v>
      </c>
      <c r="E78" s="330" t="str">
        <f ca="1">IF(COUNTIFS(Errorlog_table[AIR],Summary!A78,Errorlog_table[Year_Week_Number],"="&amp;$G$3,Errorlog_table[Year_Week_Number],"="&amp;$D$3)&gt;0,"X","")</f>
        <v/>
      </c>
      <c r="F78" s="330">
        <f>_xlfn.MAXIFS(Errorlog_table[Year_Week_Number],Errorlog_table[AIR],A78)</f>
        <v>202533</v>
      </c>
      <c r="G78" s="330"/>
      <c r="H78" s="330">
        <f ca="1">COUNTIFS(Errorlog_table[AIR],Summary!A78,Errorlog_table[Year_Week_Number],"&gt;="&amp;$G$3,Errorlog_table[Year_Week_Number],"&lt;="&amp;$D$3)</f>
        <v>1</v>
      </c>
      <c r="I78" s="330">
        <f ca="1">COUNTIFS(Errorlog_table[AIR],Summary!A78,Errorlog_table[P_Hits],"Y",Errorlog_table[Year_Week_Number],"&gt;="&amp;$G$3,Errorlog_table[Year_Week_Number],"&lt;="&amp;$D$3)</f>
        <v>1</v>
      </c>
      <c r="J78" s="330">
        <f t="shared" ca="1" si="4"/>
        <v>1</v>
      </c>
      <c r="K78" s="330">
        <f ca="1">COUNTIFS(Errorlog_table[AIR],Summary!$A78,Errorlog_table[Year_Week_Number],"&gt;="&amp;$G$3,Errorlog_table[Year_Week_Number],"&lt;="&amp;$D$3,Errorlog_table[System],K$5)</f>
        <v>1</v>
      </c>
      <c r="L78" s="330">
        <f ca="1">COUNTIFS(Errorlog_table[AIR],Summary!$A78,Errorlog_table[Year_Week_Number],"&gt;="&amp;$G$3,Errorlog_table[Year_Week_Number],"&lt;="&amp;$D$3,Errorlog_table[System],L$5)</f>
        <v>0</v>
      </c>
      <c r="M78" s="330">
        <f ca="1">COUNTIFS(Errorlog_table[AIR],Summary!$A78,Errorlog_table[Year_Week_Number],"&gt;="&amp;$G$3,Errorlog_table[Year_Week_Number],"&lt;="&amp;$D$3,Errorlog_table[System],M$5)</f>
        <v>0</v>
      </c>
      <c r="N78" s="330">
        <f ca="1">COUNTIFS(Errorlog_table[AIR],Summary!$A78,Errorlog_table[Year_Week_Number],"&gt;="&amp;$G$3,Errorlog_table[Year_Week_Number],"&lt;="&amp;$D$3,Errorlog_table[System],K$5,Errorlog_table[P_Hits],"Y")</f>
        <v>1</v>
      </c>
      <c r="O78" s="330">
        <f ca="1">COUNTIFS(Errorlog_table[AIR],Summary!$A78,Errorlog_table[Year_Week_Number],"&gt;="&amp;$G$3,Errorlog_table[Year_Week_Number],"&lt;="&amp;$D$3,Errorlog_table[System],L$5,Errorlog_table[P_Hits],"Y")</f>
        <v>0</v>
      </c>
      <c r="P78" s="330">
        <f ca="1">COUNTIFS(Errorlog_table[AIR],Summary!$A78,Errorlog_table[Year_Week_Number],"&gt;="&amp;$G$3,Errorlog_table[Year_Week_Number],"&lt;="&amp;$D$3,Errorlog_table[System],M$5,Errorlog_table[P_Hits],"Y")</f>
        <v>0</v>
      </c>
      <c r="Q78" s="324" t="str">
        <f>_xlfn.XLOOKUP(A78,Errorlog_table[AIR],Errorlog_table[Air_issue_description],"not found")</f>
        <v>[CR51][RS][SN-150B] Lot abort occurred due to Subsystem failed to send SARA or MSR reply in time.</v>
      </c>
    </row>
    <row r="79" spans="1:17" hidden="1">
      <c r="A79" s="333" t="str">
        <v>P915252</v>
      </c>
      <c r="B79" s="325" t="str">
        <f>_xlfn.XLOOKUP(A79,Errorlog_table[AIR],Errorlog_table[Root_Error],"NA",0)</f>
        <v>RM-3247</v>
      </c>
      <c r="C79" s="330">
        <f>COUNTIFS(Errorlog_table[AIR],Summary!A79,Errorlog_table[P_Hits],"Y")</f>
        <v>1</v>
      </c>
      <c r="D79" s="330">
        <f>COUNTIFS(Errorlog_table[AIR],Summary!A79,Errorlog_table[U_Hits],"Y")</f>
        <v>1</v>
      </c>
      <c r="E79" s="330" t="str">
        <f ca="1">IF(COUNTIFS(Errorlog_table[AIR],Summary!A79,Errorlog_table[Year_Week_Number],"="&amp;$G$3,Errorlog_table[Year_Week_Number],"="&amp;$D$3)&gt;0,"X","")</f>
        <v/>
      </c>
      <c r="F79" s="330">
        <f>_xlfn.MAXIFS(Errorlog_table[Year_Week_Number],Errorlog_table[AIR],A79)</f>
        <v>202534</v>
      </c>
      <c r="G79" s="330"/>
      <c r="H79" s="330">
        <f ca="1">COUNTIFS(Errorlog_table[AIR],Summary!A79,Errorlog_table[Year_Week_Number],"&gt;="&amp;$G$3,Errorlog_table[Year_Week_Number],"&lt;="&amp;$D$3)</f>
        <v>1</v>
      </c>
      <c r="I79" s="330">
        <f ca="1">COUNTIFS(Errorlog_table[AIR],Summary!A79,Errorlog_table[P_Hits],"Y",Errorlog_table[Year_Week_Number],"&gt;="&amp;$G$3,Errorlog_table[Year_Week_Number],"&lt;="&amp;$D$3)</f>
        <v>1</v>
      </c>
      <c r="J79" s="330">
        <f t="shared" ca="1" si="4"/>
        <v>1</v>
      </c>
      <c r="K79" s="330">
        <f ca="1">COUNTIFS(Errorlog_table[AIR],Summary!$A79,Errorlog_table[Year_Week_Number],"&gt;="&amp;$G$3,Errorlog_table[Year_Week_Number],"&lt;="&amp;$D$3,Errorlog_table[System],K$5)</f>
        <v>1</v>
      </c>
      <c r="L79" s="330">
        <f ca="1">COUNTIFS(Errorlog_table[AIR],Summary!$A79,Errorlog_table[Year_Week_Number],"&gt;="&amp;$G$3,Errorlog_table[Year_Week_Number],"&lt;="&amp;$D$3,Errorlog_table[System],L$5)</f>
        <v>0</v>
      </c>
      <c r="M79" s="330">
        <f ca="1">COUNTIFS(Errorlog_table[AIR],Summary!$A79,Errorlog_table[Year_Week_Number],"&gt;="&amp;$G$3,Errorlog_table[Year_Week_Number],"&lt;="&amp;$D$3,Errorlog_table[System],M$5)</f>
        <v>0</v>
      </c>
      <c r="N79" s="330">
        <f ca="1">COUNTIFS(Errorlog_table[AIR],Summary!$A79,Errorlog_table[Year_Week_Number],"&gt;="&amp;$G$3,Errorlog_table[Year_Week_Number],"&lt;="&amp;$D$3,Errorlog_table[System],K$5,Errorlog_table[P_Hits],"Y")</f>
        <v>1</v>
      </c>
      <c r="O79" s="330">
        <f ca="1">COUNTIFS(Errorlog_table[AIR],Summary!$A79,Errorlog_table[Year_Week_Number],"&gt;="&amp;$G$3,Errorlog_table[Year_Week_Number],"&lt;="&amp;$D$3,Errorlog_table[System],L$5,Errorlog_table[P_Hits],"Y")</f>
        <v>0</v>
      </c>
      <c r="P79" s="330">
        <f ca="1">COUNTIFS(Errorlog_table[AIR],Summary!$A79,Errorlog_table[Year_Week_Number],"&gt;="&amp;$G$3,Errorlog_table[Year_Week_Number],"&lt;="&amp;$D$3,Errorlog_table[System],M$5,Errorlog_table[P_Hits],"Y")</f>
        <v>0</v>
      </c>
      <c r="Q79" s="324" t="str">
        <f>_xlfn.XLOOKUP(A79,Errorlog_table[AIR],Errorlog_table[Air_issue_description],"not found")</f>
        <v>EpmID:132407| SCN - lot abort on RM-3247 | RM-3247 | CR51 19/08/2025</v>
      </c>
    </row>
    <row r="80" spans="1:17" hidden="1">
      <c r="A80" s="333" t="str">
        <v>P879404</v>
      </c>
      <c r="B80" s="325" t="str">
        <f>_xlfn.XLOOKUP(A80,Errorlog_table[AIR],Errorlog_table[Root_Error],"NA",0)</f>
        <v>OO-000B</v>
      </c>
      <c r="C80" s="330">
        <f>COUNTIFS(Errorlog_table[AIR],Summary!A80,Errorlog_table[P_Hits],"Y")</f>
        <v>0</v>
      </c>
      <c r="D80" s="330">
        <f>COUNTIFS(Errorlog_table[AIR],Summary!A80,Errorlog_table[U_Hits],"Y")</f>
        <v>1</v>
      </c>
      <c r="E80" s="330" t="str">
        <f ca="1">IF(COUNTIFS(Errorlog_table[AIR],Summary!A80,Errorlog_table[Year_Week_Number],"="&amp;$G$3,Errorlog_table[Year_Week_Number],"="&amp;$D$3)&gt;0,"X","")</f>
        <v/>
      </c>
      <c r="F80" s="330">
        <f>_xlfn.MAXIFS(Errorlog_table[Year_Week_Number],Errorlog_table[AIR],A80)</f>
        <v>202534</v>
      </c>
      <c r="G80" s="330"/>
      <c r="H80" s="330">
        <f ca="1">COUNTIFS(Errorlog_table[AIR],Summary!A80,Errorlog_table[Year_Week_Number],"&gt;="&amp;$G$3,Errorlog_table[Year_Week_Number],"&lt;="&amp;$D$3)</f>
        <v>1</v>
      </c>
      <c r="I80" s="330">
        <f ca="1">COUNTIFS(Errorlog_table[AIR],Summary!A80,Errorlog_table[P_Hits],"Y",Errorlog_table[Year_Week_Number],"&gt;="&amp;$G$3,Errorlog_table[Year_Week_Number],"&lt;="&amp;$D$3)</f>
        <v>0</v>
      </c>
      <c r="J80" s="330">
        <f t="shared" ca="1" si="4"/>
        <v>0</v>
      </c>
      <c r="K80" s="330">
        <f ca="1">COUNTIFS(Errorlog_table[AIR],Summary!$A80,Errorlog_table[Year_Week_Number],"&gt;="&amp;$G$3,Errorlog_table[Year_Week_Number],"&lt;="&amp;$D$3,Errorlog_table[System],K$5)</f>
        <v>0</v>
      </c>
      <c r="L80" s="330">
        <f ca="1">COUNTIFS(Errorlog_table[AIR],Summary!$A80,Errorlog_table[Year_Week_Number],"&gt;="&amp;$G$3,Errorlog_table[Year_Week_Number],"&lt;="&amp;$D$3,Errorlog_table[System],L$5)</f>
        <v>0</v>
      </c>
      <c r="M80" s="330">
        <f ca="1">COUNTIFS(Errorlog_table[AIR],Summary!$A80,Errorlog_table[Year_Week_Number],"&gt;="&amp;$G$3,Errorlog_table[Year_Week_Number],"&lt;="&amp;$D$3,Errorlog_table[System],M$5)</f>
        <v>1</v>
      </c>
      <c r="N80" s="330">
        <f ca="1">COUNTIFS(Errorlog_table[AIR],Summary!$A80,Errorlog_table[Year_Week_Number],"&gt;="&amp;$G$3,Errorlog_table[Year_Week_Number],"&lt;="&amp;$D$3,Errorlog_table[System],K$5,Errorlog_table[P_Hits],"Y")</f>
        <v>0</v>
      </c>
      <c r="O80" s="330">
        <f ca="1">COUNTIFS(Errorlog_table[AIR],Summary!$A80,Errorlog_table[Year_Week_Number],"&gt;="&amp;$G$3,Errorlog_table[Year_Week_Number],"&lt;="&amp;$D$3,Errorlog_table[System],L$5,Errorlog_table[P_Hits],"Y")</f>
        <v>0</v>
      </c>
      <c r="P80" s="330">
        <f ca="1">COUNTIFS(Errorlog_table[AIR],Summary!$A80,Errorlog_table[Year_Week_Number],"&gt;="&amp;$G$3,Errorlog_table[Year_Week_Number],"&lt;="&amp;$D$3,Errorlog_table[System],M$5,Errorlog_table[P_Hits],"Y")</f>
        <v>0</v>
      </c>
      <c r="Q80" s="324" t="str">
        <f>_xlfn.XLOOKUP(A80,Errorlog_table[AIR],Errorlog_table[Air_issue_description],"not found")</f>
        <v>not found</v>
      </c>
    </row>
    <row r="81" spans="1:17" hidden="1">
      <c r="A81" s="333"/>
      <c r="B81" s="325"/>
      <c r="C81" s="330"/>
      <c r="D81" s="330"/>
      <c r="E81" s="330"/>
      <c r="F81" s="330"/>
      <c r="G81" s="330"/>
      <c r="H81" s="330"/>
      <c r="I81" s="330"/>
      <c r="J81" s="330">
        <f t="shared" si="4"/>
        <v>0</v>
      </c>
      <c r="K81" s="330"/>
      <c r="L81" s="330"/>
      <c r="M81" s="330"/>
      <c r="N81" s="330"/>
      <c r="O81" s="330"/>
      <c r="P81" s="330"/>
      <c r="Q81" s="324"/>
    </row>
    <row r="82" spans="1:17" hidden="1">
      <c r="A82" s="333"/>
      <c r="B82" s="325"/>
      <c r="C82" s="330"/>
      <c r="D82" s="330"/>
      <c r="E82" s="330"/>
      <c r="F82" s="330"/>
      <c r="G82" s="330"/>
      <c r="H82" s="330"/>
      <c r="I82" s="330"/>
      <c r="J82" s="330">
        <f t="shared" si="4"/>
        <v>0</v>
      </c>
      <c r="K82" s="330"/>
      <c r="L82" s="330"/>
      <c r="M82" s="330"/>
      <c r="N82" s="330"/>
      <c r="O82" s="330"/>
      <c r="P82" s="330"/>
      <c r="Q82" s="324"/>
    </row>
    <row r="83" spans="1:17" hidden="1">
      <c r="A83" s="333"/>
      <c r="B83" s="325"/>
      <c r="C83" s="330"/>
      <c r="D83" s="330"/>
      <c r="E83" s="330"/>
      <c r="F83" s="330"/>
      <c r="G83" s="330"/>
      <c r="H83" s="330"/>
      <c r="I83" s="330"/>
      <c r="J83" s="330">
        <f t="shared" si="4"/>
        <v>0</v>
      </c>
      <c r="K83" s="330"/>
      <c r="L83" s="330"/>
      <c r="M83" s="330"/>
      <c r="N83" s="330"/>
      <c r="O83" s="330"/>
      <c r="P83" s="330"/>
      <c r="Q83" s="324"/>
    </row>
    <row r="84" spans="1:17" hidden="1">
      <c r="A84" s="333"/>
      <c r="B84" s="325"/>
      <c r="C84" s="330"/>
      <c r="D84" s="330"/>
      <c r="E84" s="330"/>
      <c r="F84" s="330"/>
      <c r="G84" s="330"/>
      <c r="H84" s="330"/>
      <c r="I84" s="330"/>
      <c r="J84" s="330">
        <f t="shared" si="4"/>
        <v>0</v>
      </c>
      <c r="K84" s="330"/>
      <c r="L84" s="330"/>
      <c r="M84" s="330"/>
      <c r="N84" s="330"/>
      <c r="O84" s="330"/>
      <c r="P84" s="330"/>
      <c r="Q84" s="324"/>
    </row>
    <row r="85" spans="1:17">
      <c r="A85" s="333"/>
      <c r="B85" s="325"/>
      <c r="C85" s="330"/>
      <c r="D85" s="330"/>
      <c r="E85" s="330"/>
      <c r="F85" s="330"/>
      <c r="G85" s="330"/>
      <c r="H85" s="330"/>
      <c r="I85" s="330"/>
      <c r="J85" s="330">
        <f t="shared" si="4"/>
        <v>0</v>
      </c>
      <c r="K85" s="330"/>
      <c r="L85" s="330"/>
      <c r="M85" s="330"/>
      <c r="N85" s="330"/>
      <c r="O85" s="330"/>
      <c r="P85" s="330"/>
      <c r="Q85" s="324"/>
    </row>
    <row r="86" spans="1:17">
      <c r="A86" s="333"/>
      <c r="B86" s="325"/>
      <c r="C86" s="330"/>
      <c r="D86" s="330"/>
      <c r="E86" s="330"/>
      <c r="F86" s="330"/>
      <c r="G86" s="330"/>
      <c r="H86" s="330"/>
      <c r="I86" s="330"/>
      <c r="J86" s="330">
        <f t="shared" si="4"/>
        <v>0</v>
      </c>
      <c r="K86" s="330"/>
      <c r="L86" s="330"/>
      <c r="M86" s="330"/>
      <c r="N86" s="330"/>
      <c r="O86" s="330"/>
      <c r="P86" s="330"/>
      <c r="Q86" s="324"/>
    </row>
    <row r="87" spans="1:17">
      <c r="A87" s="333"/>
      <c r="B87" s="325"/>
      <c r="C87" s="330"/>
      <c r="D87" s="330"/>
      <c r="E87" s="330"/>
      <c r="F87" s="330"/>
      <c r="G87" s="330"/>
      <c r="H87" s="330"/>
      <c r="I87" s="330"/>
      <c r="J87" s="330">
        <f t="shared" si="4"/>
        <v>0</v>
      </c>
      <c r="K87" s="330"/>
      <c r="L87" s="330"/>
      <c r="M87" s="330"/>
      <c r="N87" s="330"/>
      <c r="O87" s="330"/>
      <c r="P87" s="330"/>
      <c r="Q87" s="324"/>
    </row>
    <row r="88" spans="1:17">
      <c r="A88" s="333"/>
      <c r="B88" s="325"/>
      <c r="C88" s="330"/>
      <c r="D88" s="330"/>
      <c r="E88" s="330"/>
      <c r="F88" s="330"/>
      <c r="G88" s="330"/>
      <c r="H88" s="330"/>
      <c r="I88" s="330"/>
      <c r="J88" s="330">
        <f t="shared" si="4"/>
        <v>0</v>
      </c>
      <c r="K88" s="330"/>
      <c r="L88" s="330"/>
      <c r="M88" s="330"/>
      <c r="N88" s="330"/>
      <c r="O88" s="330"/>
      <c r="P88" s="330"/>
      <c r="Q88" s="324"/>
    </row>
    <row r="89" spans="1:17">
      <c r="A89" s="333"/>
      <c r="B89" s="325"/>
      <c r="C89" s="330"/>
      <c r="D89" s="330"/>
      <c r="E89" s="330"/>
      <c r="F89" s="330"/>
      <c r="G89" s="330"/>
      <c r="H89" s="330"/>
      <c r="I89" s="330"/>
      <c r="J89" s="330">
        <f t="shared" si="4"/>
        <v>0</v>
      </c>
      <c r="K89" s="330"/>
      <c r="L89" s="330"/>
      <c r="M89" s="330"/>
      <c r="N89" s="330"/>
      <c r="O89" s="330"/>
      <c r="P89" s="330"/>
      <c r="Q89" s="324"/>
    </row>
    <row r="90" spans="1:17">
      <c r="D90" s="37"/>
      <c r="E90" s="37"/>
      <c r="F90" s="37"/>
      <c r="G90" s="37"/>
      <c r="H90" s="37"/>
      <c r="J90"/>
      <c r="K90"/>
      <c r="L90"/>
      <c r="M90"/>
      <c r="N90"/>
      <c r="O90"/>
      <c r="P90"/>
    </row>
    <row r="91" spans="1:17">
      <c r="D91" s="37"/>
      <c r="E91" s="37"/>
      <c r="F91" s="37"/>
      <c r="G91" s="37"/>
      <c r="H91" s="37"/>
      <c r="J91"/>
      <c r="K91"/>
      <c r="L91"/>
      <c r="M91"/>
      <c r="N91"/>
      <c r="O91"/>
      <c r="P91"/>
    </row>
    <row r="92" spans="1:17">
      <c r="D92" s="37"/>
      <c r="E92" s="37"/>
      <c r="F92" s="37"/>
      <c r="G92" s="37"/>
      <c r="H92" s="37"/>
      <c r="J92"/>
      <c r="K92"/>
      <c r="L92"/>
      <c r="M92"/>
      <c r="N92"/>
      <c r="O92"/>
      <c r="P92"/>
    </row>
    <row r="93" spans="1:17">
      <c r="D93" s="37"/>
      <c r="E93" s="37"/>
      <c r="F93" s="37"/>
      <c r="G93" s="37"/>
      <c r="H93" s="37"/>
      <c r="J93"/>
      <c r="K93"/>
      <c r="L93"/>
      <c r="M93"/>
      <c r="N93"/>
      <c r="O93"/>
      <c r="P93"/>
    </row>
    <row r="94" spans="1:17">
      <c r="D94" s="37"/>
      <c r="E94" s="37"/>
      <c r="F94" s="37"/>
      <c r="G94" s="37"/>
      <c r="H94" s="37"/>
      <c r="J94"/>
      <c r="K94"/>
      <c r="L94"/>
      <c r="M94"/>
      <c r="N94"/>
      <c r="O94"/>
      <c r="P94"/>
    </row>
    <row r="95" spans="1:17">
      <c r="D95" s="37"/>
      <c r="E95" s="37"/>
      <c r="F95" s="37"/>
      <c r="G95" s="37"/>
      <c r="H95" s="37"/>
      <c r="J95"/>
      <c r="K95"/>
      <c r="L95"/>
      <c r="M95"/>
      <c r="N95"/>
      <c r="O95"/>
      <c r="P95"/>
    </row>
    <row r="96" spans="1:17">
      <c r="D96" s="37"/>
      <c r="E96" s="37"/>
      <c r="F96" s="37"/>
      <c r="G96" s="37"/>
      <c r="H96" s="37"/>
      <c r="J96"/>
      <c r="K96"/>
      <c r="L96"/>
      <c r="M96"/>
      <c r="N96"/>
      <c r="O96"/>
      <c r="P96"/>
    </row>
    <row r="97" spans="4:16">
      <c r="D97" s="37"/>
      <c r="E97" s="37"/>
      <c r="F97" s="37"/>
      <c r="G97" s="37"/>
      <c r="H97" s="37"/>
      <c r="J97"/>
      <c r="K97"/>
      <c r="L97"/>
      <c r="M97"/>
      <c r="N97"/>
      <c r="O97"/>
      <c r="P97"/>
    </row>
    <row r="98" spans="4:16">
      <c r="D98" s="37"/>
      <c r="E98" s="37"/>
      <c r="F98" s="37"/>
      <c r="G98" s="37"/>
      <c r="H98" s="37"/>
      <c r="J98"/>
      <c r="K98"/>
      <c r="L98"/>
      <c r="M98"/>
      <c r="N98"/>
      <c r="O98"/>
      <c r="P98"/>
    </row>
    <row r="99" spans="4:16">
      <c r="D99" s="37"/>
      <c r="E99" s="37"/>
      <c r="F99" s="37"/>
      <c r="G99" s="37"/>
      <c r="H99" s="37"/>
      <c r="J99"/>
      <c r="K99"/>
      <c r="L99"/>
      <c r="M99"/>
      <c r="N99"/>
      <c r="O99"/>
      <c r="P99"/>
    </row>
    <row r="100" spans="4:16">
      <c r="D100" s="37"/>
      <c r="E100" s="37"/>
      <c r="F100" s="37"/>
      <c r="G100" s="37"/>
      <c r="H100" s="37"/>
      <c r="J100"/>
      <c r="K100"/>
      <c r="L100"/>
      <c r="M100"/>
      <c r="N100"/>
      <c r="O100"/>
      <c r="P100"/>
    </row>
    <row r="101" spans="4:16">
      <c r="D101" s="37"/>
      <c r="E101" s="37"/>
      <c r="F101" s="37"/>
      <c r="G101" s="37"/>
      <c r="H101" s="37"/>
      <c r="J101"/>
      <c r="K101"/>
      <c r="L101"/>
      <c r="M101"/>
      <c r="N101"/>
      <c r="O101"/>
      <c r="P101"/>
    </row>
    <row r="102" spans="4:16">
      <c r="D102" s="37"/>
      <c r="E102" s="37"/>
      <c r="F102" s="37"/>
      <c r="G102" s="37"/>
      <c r="H102" s="37"/>
      <c r="J102"/>
      <c r="K102"/>
      <c r="L102"/>
      <c r="M102"/>
      <c r="N102"/>
      <c r="O102"/>
      <c r="P102"/>
    </row>
    <row r="103" spans="4:16">
      <c r="D103" s="37"/>
      <c r="E103" s="37"/>
      <c r="F103" s="37"/>
      <c r="G103" s="37"/>
      <c r="H103" s="37"/>
      <c r="J103"/>
      <c r="K103"/>
      <c r="L103"/>
      <c r="M103"/>
      <c r="N103"/>
      <c r="O103"/>
      <c r="P103"/>
    </row>
    <row r="104" spans="4:16">
      <c r="D104" s="37"/>
      <c r="E104" s="37"/>
      <c r="F104" s="37"/>
      <c r="G104" s="37"/>
      <c r="H104" s="37"/>
      <c r="J104"/>
      <c r="K104"/>
      <c r="L104"/>
      <c r="M104"/>
      <c r="N104"/>
      <c r="O104"/>
      <c r="P104"/>
    </row>
    <row r="105" spans="4:16">
      <c r="D105" s="37"/>
      <c r="E105" s="37"/>
      <c r="F105" s="37"/>
      <c r="G105" s="37"/>
      <c r="H105" s="37"/>
      <c r="J105"/>
      <c r="K105"/>
      <c r="L105"/>
      <c r="M105"/>
      <c r="N105"/>
      <c r="O105"/>
      <c r="P105"/>
    </row>
    <row r="106" spans="4:16">
      <c r="D106" s="37"/>
      <c r="E106" s="37"/>
      <c r="F106" s="37"/>
      <c r="G106" s="37"/>
      <c r="H106" s="37"/>
      <c r="J106"/>
      <c r="K106"/>
      <c r="L106"/>
      <c r="M106"/>
      <c r="N106"/>
      <c r="O106"/>
      <c r="P106"/>
    </row>
    <row r="107" spans="4:16">
      <c r="D107" s="37"/>
      <c r="E107" s="37"/>
      <c r="F107" s="37"/>
      <c r="G107" s="37"/>
      <c r="H107" s="37"/>
      <c r="J107"/>
      <c r="K107"/>
      <c r="L107"/>
      <c r="M107"/>
      <c r="N107"/>
      <c r="O107"/>
      <c r="P107"/>
    </row>
    <row r="108" spans="4:16">
      <c r="D108" s="37"/>
      <c r="E108" s="37"/>
      <c r="F108" s="37"/>
      <c r="G108" s="37"/>
      <c r="H108" s="37"/>
      <c r="J108"/>
      <c r="K108"/>
      <c r="L108"/>
      <c r="M108"/>
      <c r="N108"/>
      <c r="O108"/>
      <c r="P108"/>
    </row>
    <row r="109" spans="4:16">
      <c r="D109" s="37"/>
      <c r="E109" s="37"/>
      <c r="F109" s="37"/>
      <c r="G109" s="37"/>
      <c r="H109" s="37"/>
      <c r="J109"/>
      <c r="K109"/>
      <c r="L109"/>
      <c r="M109"/>
      <c r="N109"/>
      <c r="O109"/>
      <c r="P109"/>
    </row>
    <row r="110" spans="4:16">
      <c r="D110" s="37"/>
      <c r="E110" s="37"/>
      <c r="F110" s="37"/>
      <c r="G110" s="37"/>
      <c r="H110" s="37"/>
      <c r="J110"/>
      <c r="K110"/>
      <c r="L110"/>
      <c r="M110"/>
      <c r="N110"/>
      <c r="O110"/>
      <c r="P110"/>
    </row>
    <row r="111" spans="4:16">
      <c r="D111" s="37"/>
      <c r="E111" s="37"/>
      <c r="F111" s="37"/>
      <c r="G111" s="37"/>
      <c r="H111" s="37"/>
      <c r="J111"/>
      <c r="K111"/>
      <c r="L111"/>
      <c r="M111"/>
      <c r="N111"/>
      <c r="O111"/>
      <c r="P111"/>
    </row>
  </sheetData>
  <autoFilter ref="A6:Q84" xr:uid="{A1EA2B33-5C7F-4D05-9E21-B3AF3762FE73}">
    <filterColumn colId="7">
      <filters>
        <filter val="2"/>
        <filter val="5"/>
      </filters>
    </filterColumn>
  </autoFilter>
  <phoneticPr fontId="2" type="noConversion"/>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7170E-B36D-4BD8-9ABB-D7E2604B72D0}">
  <dimension ref="B4:H62"/>
  <sheetViews>
    <sheetView zoomScale="85" zoomScaleNormal="85" workbookViewId="0">
      <selection activeCell="G9" sqref="G9"/>
    </sheetView>
  </sheetViews>
  <sheetFormatPr defaultRowHeight="15"/>
  <cols>
    <col min="2" max="2" width="15.5703125" bestFit="1" customWidth="1"/>
    <col min="3" max="3" width="16.85546875" customWidth="1"/>
    <col min="4" max="4" width="16.5703125" customWidth="1"/>
    <col min="5" max="5" width="6.5703125" style="37" customWidth="1"/>
    <col min="6" max="6" width="8.28515625" style="37" bestFit="1" customWidth="1"/>
    <col min="7" max="7" width="31.5703125" customWidth="1"/>
  </cols>
  <sheetData>
    <row r="4" spans="2:7">
      <c r="B4" s="334" t="s">
        <v>208</v>
      </c>
      <c r="C4" s="334" t="s">
        <v>90</v>
      </c>
      <c r="D4" s="334" t="s">
        <v>208</v>
      </c>
      <c r="E4" s="334" t="s">
        <v>769</v>
      </c>
      <c r="F4" s="334"/>
      <c r="G4" s="334" t="s">
        <v>770</v>
      </c>
    </row>
    <row r="5" spans="2:7" ht="45" customHeight="1">
      <c r="B5" s="358" t="s">
        <v>271</v>
      </c>
      <c r="C5" s="338" t="s">
        <v>480</v>
      </c>
      <c r="D5" s="338" t="str">
        <f>B5&amp;"_"&amp;F5&amp;"_"&amp;C5</f>
        <v>P853275_ZH-221D_ILIAS</v>
      </c>
      <c r="E5" s="9">
        <v>4</v>
      </c>
      <c r="F5" s="9" t="str">
        <f>_xlfn.XLOOKUP(B5,Errorlog_table[AIR],Errorlog_table[Event_code])</f>
        <v>ZH-221D</v>
      </c>
      <c r="G5" s="340" t="s">
        <v>771</v>
      </c>
    </row>
    <row r="6" spans="2:7">
      <c r="B6" s="338" t="s">
        <v>444</v>
      </c>
      <c r="C6" s="338" t="s">
        <v>772</v>
      </c>
      <c r="D6" s="338" t="str">
        <f t="shared" ref="D6:D26" si="0">B6&amp;"_"&amp;F6&amp;"_"&amp;C6</f>
        <v>P860660_RU-1B22_RH</v>
      </c>
      <c r="E6" s="9">
        <v>4</v>
      </c>
      <c r="F6" s="9" t="str">
        <f>_xlfn.XLOOKUP(B6,Errorlog_table[AIR],Errorlog_table[Event_code])</f>
        <v>RU-1B22</v>
      </c>
      <c r="G6" s="338" t="s">
        <v>773</v>
      </c>
    </row>
    <row r="7" spans="2:7">
      <c r="B7" s="338" t="s">
        <v>534</v>
      </c>
      <c r="C7" s="338" t="s">
        <v>774</v>
      </c>
      <c r="D7" s="338" t="str">
        <f t="shared" si="0"/>
        <v>P872439_KU-5113_METRO</v>
      </c>
      <c r="E7" s="9">
        <v>4</v>
      </c>
      <c r="F7" s="9" t="str">
        <f>_xlfn.XLOOKUP(B7,Errorlog_table[AIR],Errorlog_table[Event_code])</f>
        <v>KU-5113</v>
      </c>
      <c r="G7" s="338" t="s">
        <v>775</v>
      </c>
    </row>
    <row r="8" spans="2:7">
      <c r="B8" s="338" t="s">
        <v>525</v>
      </c>
      <c r="C8" s="338" t="s">
        <v>774</v>
      </c>
      <c r="D8" s="338" t="str">
        <f t="shared" si="0"/>
        <v>P860104_KN-0605_METRO</v>
      </c>
      <c r="E8" s="9">
        <v>3</v>
      </c>
      <c r="F8" s="9" t="str">
        <f>_xlfn.XLOOKUP(B8,Errorlog_table[AIR],Errorlog_table[Event_code])</f>
        <v>KN-0605</v>
      </c>
      <c r="G8" s="338" t="s">
        <v>776</v>
      </c>
    </row>
    <row r="9" spans="2:7" ht="30" customHeight="1">
      <c r="B9" s="338" t="s">
        <v>604</v>
      </c>
      <c r="C9" s="338" t="s">
        <v>777</v>
      </c>
      <c r="D9" s="338" t="str">
        <f t="shared" si="0"/>
        <v>P863919_UL-90EA_ILL</v>
      </c>
      <c r="E9" s="9">
        <v>3</v>
      </c>
      <c r="F9" s="9" t="str">
        <f>_xlfn.XLOOKUP(B9,Errorlog_table[AIR],Errorlog_table[Event_code])</f>
        <v>UL-90EA</v>
      </c>
      <c r="G9" s="339" t="s">
        <v>778</v>
      </c>
    </row>
    <row r="10" spans="2:7" ht="30">
      <c r="B10" s="338" t="s">
        <v>501</v>
      </c>
      <c r="C10" s="338" t="s">
        <v>779</v>
      </c>
      <c r="D10" s="338" t="str">
        <f t="shared" si="0"/>
        <v>P820514_PX-B6FC_LASER</v>
      </c>
      <c r="E10" s="9">
        <v>2</v>
      </c>
      <c r="F10" s="9" t="str">
        <f>_xlfn.XLOOKUP(B10,Errorlog_table[AIR],Errorlog_table[Event_code])</f>
        <v>PX-B6FC</v>
      </c>
      <c r="G10" s="339" t="s">
        <v>780</v>
      </c>
    </row>
    <row r="11" spans="2:7" ht="30" customHeight="1">
      <c r="B11" s="338" t="s">
        <v>597</v>
      </c>
      <c r="C11" s="338" t="s">
        <v>781</v>
      </c>
      <c r="D11" s="338" t="str">
        <f t="shared" si="0"/>
        <v>P829173_LAB-002D_SW Laser</v>
      </c>
      <c r="E11" s="9">
        <v>2</v>
      </c>
      <c r="F11" s="9" t="str">
        <f>_xlfn.XLOOKUP(B11,Errorlog_table[AIR],Errorlog_table[Event_code])</f>
        <v>LAB-002D</v>
      </c>
      <c r="G11" s="339" t="s">
        <v>782</v>
      </c>
    </row>
    <row r="12" spans="2:7">
      <c r="B12" s="338" t="s">
        <v>477</v>
      </c>
      <c r="C12" s="338" t="s">
        <v>777</v>
      </c>
      <c r="D12" s="338" t="str">
        <f t="shared" si="0"/>
        <v>P867917_CN-0001_ILL</v>
      </c>
      <c r="E12" s="9">
        <v>2</v>
      </c>
      <c r="F12" s="9" t="str">
        <f>_xlfn.XLOOKUP(B12,Errorlog_table[AIR],Errorlog_table[Event_code])</f>
        <v>CN-0001</v>
      </c>
      <c r="G12" s="338" t="s">
        <v>783</v>
      </c>
    </row>
    <row r="13" spans="2:7" ht="45" customHeight="1">
      <c r="B13" s="338" t="s">
        <v>591</v>
      </c>
      <c r="C13" s="338" t="s">
        <v>784</v>
      </c>
      <c r="D13" s="338" t="str">
        <f t="shared" si="0"/>
        <v>P885590_CG-A309_SD</v>
      </c>
      <c r="E13" s="9">
        <v>2</v>
      </c>
      <c r="F13" s="9" t="str">
        <f>_xlfn.XLOOKUP(B13,Errorlog_table[AIR],Errorlog_table[Event_code])</f>
        <v>CG-A309</v>
      </c>
      <c r="G13" s="339" t="s">
        <v>785</v>
      </c>
    </row>
    <row r="14" spans="2:7">
      <c r="B14" s="338">
        <v>53121688</v>
      </c>
      <c r="C14" s="338" t="s">
        <v>786</v>
      </c>
      <c r="D14" s="338" t="e">
        <f t="shared" si="0"/>
        <v>#N/A</v>
      </c>
      <c r="E14" s="9">
        <v>1</v>
      </c>
      <c r="F14" s="9" t="e">
        <f>_xlfn.XLOOKUP(B14,Errorlog_table[AIR],Errorlog_table[Event_code])</f>
        <v>#N/A</v>
      </c>
      <c r="G14" s="338" t="s">
        <v>787</v>
      </c>
    </row>
    <row r="15" spans="2:7" ht="30">
      <c r="B15" s="338" t="s">
        <v>574</v>
      </c>
      <c r="C15" s="338" t="s">
        <v>509</v>
      </c>
      <c r="D15" s="338" t="str">
        <f t="shared" si="0"/>
        <v>P885598_PL-7005_SRC</v>
      </c>
      <c r="E15" s="9">
        <v>1</v>
      </c>
      <c r="F15" s="9" t="str">
        <f>_xlfn.XLOOKUP(B15,Errorlog_table[AIR],Errorlog_table[Event_code])</f>
        <v>PL-7005</v>
      </c>
      <c r="G15" s="339" t="s">
        <v>788</v>
      </c>
    </row>
    <row r="16" spans="2:7">
      <c r="B16" s="338" t="s">
        <v>416</v>
      </c>
      <c r="C16" s="338" t="s">
        <v>642</v>
      </c>
      <c r="D16" s="338" t="str">
        <f t="shared" si="0"/>
        <v>P656698_WE-0C04_WH</v>
      </c>
      <c r="E16" s="9">
        <v>1</v>
      </c>
      <c r="F16" s="9" t="str">
        <f>_xlfn.XLOOKUP(B16,Errorlog_table[AIR],Errorlog_table[Event_code])</f>
        <v>WE-0C04</v>
      </c>
      <c r="G16" s="338" t="s">
        <v>789</v>
      </c>
    </row>
    <row r="17" spans="2:7">
      <c r="B17" s="338" t="s">
        <v>490</v>
      </c>
      <c r="C17" s="338" t="s">
        <v>642</v>
      </c>
      <c r="D17" s="338" t="str">
        <f t="shared" si="0"/>
        <v>P834708_WX-2508_WH</v>
      </c>
      <c r="E17" s="9">
        <v>1</v>
      </c>
      <c r="F17" s="9" t="str">
        <f>_xlfn.XLOOKUP(B17,Errorlog_table[AIR],Errorlog_table[Event_code])</f>
        <v>WX-2508</v>
      </c>
      <c r="G17" s="338" t="s">
        <v>790</v>
      </c>
    </row>
    <row r="18" spans="2:7">
      <c r="B18" s="338" t="s">
        <v>473</v>
      </c>
      <c r="C18" s="338" t="s">
        <v>642</v>
      </c>
      <c r="D18" s="338" t="str">
        <f t="shared" si="0"/>
        <v>P841602_WH-252E_WH</v>
      </c>
      <c r="E18" s="9">
        <v>1</v>
      </c>
      <c r="F18" s="9" t="str">
        <f>_xlfn.XLOOKUP(B18,Errorlog_table[AIR],Errorlog_table[Event_code])</f>
        <v>WH-252E</v>
      </c>
      <c r="G18" s="338" t="s">
        <v>791</v>
      </c>
    </row>
    <row r="19" spans="2:7">
      <c r="B19" s="338" t="s">
        <v>451</v>
      </c>
      <c r="C19" s="338" t="str">
        <f>_xlfn.XLOOKUP(B19,Errorlog_table[AIR],Errorlog_table[FC])</f>
        <v>TIS</v>
      </c>
      <c r="D19" s="338" t="str">
        <f t="shared" si="0"/>
        <v>P844973_IS-1367_TIS</v>
      </c>
      <c r="E19" s="9">
        <v>1</v>
      </c>
      <c r="F19" s="9" t="str">
        <f>_xlfn.XLOOKUP(B19,Errorlog_table[AIR],Errorlog_table[Event_code])</f>
        <v>IS-1367</v>
      </c>
      <c r="G19" s="338" t="s">
        <v>792</v>
      </c>
    </row>
    <row r="20" spans="2:7">
      <c r="B20" s="338" t="s">
        <v>565</v>
      </c>
      <c r="C20" s="338" t="s">
        <v>321</v>
      </c>
      <c r="D20" s="338" t="str">
        <f t="shared" si="0"/>
        <v>P856296_DD-0000_DC</v>
      </c>
      <c r="E20" s="9">
        <v>1</v>
      </c>
      <c r="F20" s="9" t="str">
        <f>_xlfn.XLOOKUP(B20,Errorlog_table[AIR],Errorlog_table[Event_code])</f>
        <v>DD-0000</v>
      </c>
      <c r="G20" s="338" t="s">
        <v>790</v>
      </c>
    </row>
    <row r="21" spans="2:7">
      <c r="B21" s="338" t="s">
        <v>494</v>
      </c>
      <c r="C21" s="338" t="s">
        <v>793</v>
      </c>
      <c r="D21" s="338" t="str">
        <f t="shared" si="0"/>
        <v>P870861_PG-7406_REMA</v>
      </c>
      <c r="E21" s="9">
        <v>1</v>
      </c>
      <c r="F21" s="9" t="str">
        <f>_xlfn.XLOOKUP(B21,Errorlog_table[AIR],Errorlog_table[Event_code])</f>
        <v>PG-7406</v>
      </c>
      <c r="G21" s="338" t="s">
        <v>775</v>
      </c>
    </row>
    <row r="22" spans="2:7">
      <c r="B22" s="338" t="s">
        <v>510</v>
      </c>
      <c r="C22" s="338" t="str">
        <f>_xlfn.XLOOKUP(B22,Errorlog_table[AIR],Errorlog_table[FC])</f>
        <v>SRC</v>
      </c>
      <c r="D22" s="338" t="str">
        <f t="shared" si="0"/>
        <v>P871028_WXP-021 _SRC</v>
      </c>
      <c r="E22" s="9">
        <v>1</v>
      </c>
      <c r="F22" s="9" t="str">
        <f>_xlfn.XLOOKUP(B22,Errorlog_table[AIR],Errorlog_table[Event_code])</f>
        <v xml:space="preserve">WXP-021 </v>
      </c>
      <c r="G22" s="338" t="s">
        <v>794</v>
      </c>
    </row>
    <row r="23" spans="2:7">
      <c r="B23" s="338" t="s">
        <v>521</v>
      </c>
      <c r="C23" s="338" t="s">
        <v>786</v>
      </c>
      <c r="D23" s="338" t="str">
        <f t="shared" si="0"/>
        <v>P872290_WP-2C1D_WS</v>
      </c>
      <c r="E23" s="9">
        <v>1</v>
      </c>
      <c r="F23" s="9" t="str">
        <f>_xlfn.XLOOKUP(B23,Errorlog_table[AIR],Errorlog_table[Event_code])</f>
        <v>WP-2C1D</v>
      </c>
      <c r="G23" s="338" t="s">
        <v>795</v>
      </c>
    </row>
    <row r="24" spans="2:7">
      <c r="B24" s="338" t="s">
        <v>505</v>
      </c>
      <c r="C24" s="338" t="str">
        <f>_xlfn.XLOOKUP(B24,Errorlog_table[AIR],Errorlog_table[FC])</f>
        <v>RS</v>
      </c>
      <c r="D24" s="338" t="str">
        <f t="shared" si="0"/>
        <v>P873253_RU-2B1D_RS</v>
      </c>
      <c r="E24" s="9">
        <v>1</v>
      </c>
      <c r="F24" s="9" t="str">
        <f>_xlfn.XLOOKUP(B24,Errorlog_table[AIR],Errorlog_table[Event_code])</f>
        <v>RU-2B1D</v>
      </c>
      <c r="G24" s="338" t="s">
        <v>791</v>
      </c>
    </row>
    <row r="25" spans="2:7">
      <c r="B25" s="338" t="s">
        <v>551</v>
      </c>
      <c r="C25" s="338" t="s">
        <v>796</v>
      </c>
      <c r="D25" s="338" t="str">
        <f t="shared" si="0"/>
        <v>P877184_LZ-2004_UVLS</v>
      </c>
      <c r="E25" s="9">
        <v>1</v>
      </c>
      <c r="F25" s="9" t="str">
        <f>_xlfn.XLOOKUP(B25,Errorlog_table[AIR],Errorlog_table[Event_code])</f>
        <v>LZ-2004</v>
      </c>
      <c r="G25" s="338" t="s">
        <v>797</v>
      </c>
    </row>
    <row r="26" spans="2:7">
      <c r="B26" s="338" t="s">
        <v>585</v>
      </c>
      <c r="C26" s="338" t="s">
        <v>509</v>
      </c>
      <c r="D26" s="338" t="str">
        <f t="shared" si="0"/>
        <v>P885744_LSH-00AC_SRC</v>
      </c>
      <c r="E26" s="9">
        <v>1</v>
      </c>
      <c r="F26" s="9" t="str">
        <f>_xlfn.XLOOKUP(B26,Errorlog_table[AIR],Errorlog_table[Event_code])</f>
        <v>LSH-00AC</v>
      </c>
      <c r="G26" s="338" t="s">
        <v>798</v>
      </c>
    </row>
    <row r="36" spans="3:8">
      <c r="C36" s="334" t="s">
        <v>218</v>
      </c>
      <c r="D36" s="334" t="s">
        <v>90</v>
      </c>
      <c r="E36" s="334" t="s">
        <v>799</v>
      </c>
      <c r="F36" s="334"/>
      <c r="G36" s="334" t="s">
        <v>800</v>
      </c>
      <c r="H36" s="334" t="s">
        <v>801</v>
      </c>
    </row>
    <row r="37" spans="3:8">
      <c r="C37" s="37">
        <v>53121688</v>
      </c>
      <c r="D37" s="37" t="e">
        <f>VLOOKUP(C37,$B$5:$D$26,3,FALSE)</f>
        <v>#N/A</v>
      </c>
      <c r="E37" s="37">
        <v>1</v>
      </c>
      <c r="G37" s="37">
        <v>0</v>
      </c>
      <c r="H37" s="37" t="s">
        <v>557</v>
      </c>
    </row>
    <row r="38" spans="3:8">
      <c r="C38" s="37">
        <v>53128749</v>
      </c>
      <c r="D38" s="37" t="e">
        <f t="shared" ref="D38:D39" si="1">VLOOKUP(C38,$B$5:$D$26,3,FALSE)</f>
        <v>#N/A</v>
      </c>
      <c r="E38" s="37">
        <v>1</v>
      </c>
      <c r="G38" s="37">
        <v>0</v>
      </c>
      <c r="H38" s="37" t="s">
        <v>572</v>
      </c>
    </row>
    <row r="39" spans="3:8">
      <c r="C39" s="37" t="s">
        <v>416</v>
      </c>
      <c r="D39" s="37" t="str">
        <f t="shared" si="1"/>
        <v>P656698_WE-0C04_WH</v>
      </c>
      <c r="E39" s="37">
        <v>0</v>
      </c>
      <c r="G39" s="37">
        <v>1</v>
      </c>
      <c r="H39" s="37" t="s">
        <v>186</v>
      </c>
    </row>
    <row r="40" spans="3:8">
      <c r="C40" s="37" t="s">
        <v>501</v>
      </c>
      <c r="D40" s="37" t="str">
        <f t="shared" ref="D40:D58" si="2">VLOOKUP(C40,$B$5:$D$26,3,FALSE)</f>
        <v>P820514_PX-B6FC_LASER</v>
      </c>
      <c r="E40" s="37">
        <v>1</v>
      </c>
      <c r="G40" s="37">
        <v>1</v>
      </c>
      <c r="H40" s="37" t="s">
        <v>497</v>
      </c>
    </row>
    <row r="41" spans="3:8">
      <c r="C41" s="37" t="s">
        <v>597</v>
      </c>
      <c r="D41" s="37" t="str">
        <f t="shared" si="2"/>
        <v>P829173_LAB-002D_SW Laser</v>
      </c>
      <c r="E41" s="37">
        <v>1</v>
      </c>
      <c r="G41" s="37">
        <v>1</v>
      </c>
      <c r="H41" s="37" t="s">
        <v>244</v>
      </c>
    </row>
    <row r="42" spans="3:8">
      <c r="C42" s="37" t="s">
        <v>490</v>
      </c>
      <c r="D42" s="37" t="str">
        <f t="shared" si="2"/>
        <v>P834708_WX-2508_WH</v>
      </c>
      <c r="E42" s="37">
        <v>1</v>
      </c>
      <c r="G42" s="37">
        <v>0</v>
      </c>
      <c r="H42" s="37" t="s">
        <v>488</v>
      </c>
    </row>
    <row r="43" spans="3:8">
      <c r="C43" s="37" t="s">
        <v>473</v>
      </c>
      <c r="D43" s="37" t="str">
        <f t="shared" si="2"/>
        <v>P841602_WH-252E_WH</v>
      </c>
      <c r="E43" s="37">
        <v>1</v>
      </c>
      <c r="G43" s="37">
        <v>0</v>
      </c>
      <c r="H43" s="37" t="s">
        <v>470</v>
      </c>
    </row>
    <row r="44" spans="3:8">
      <c r="C44" s="37" t="s">
        <v>451</v>
      </c>
      <c r="D44" s="37" t="str">
        <f t="shared" si="2"/>
        <v>P844973_IS-1367_TIS</v>
      </c>
      <c r="E44" s="37">
        <v>1</v>
      </c>
      <c r="G44" s="37">
        <v>0</v>
      </c>
      <c r="H44" s="37" t="s">
        <v>448</v>
      </c>
    </row>
    <row r="45" spans="3:8">
      <c r="C45" s="37" t="s">
        <v>271</v>
      </c>
      <c r="D45" s="37" t="str">
        <f t="shared" si="2"/>
        <v>P853275_ZH-221D_ILIAS</v>
      </c>
      <c r="E45" s="37">
        <v>0</v>
      </c>
      <c r="G45" s="37">
        <v>4</v>
      </c>
      <c r="H45" s="37" t="s">
        <v>251</v>
      </c>
    </row>
    <row r="46" spans="3:8">
      <c r="C46" s="37" t="s">
        <v>565</v>
      </c>
      <c r="D46" s="37" t="str">
        <f t="shared" si="2"/>
        <v>P856296_DD-0000_DC</v>
      </c>
      <c r="E46" s="37">
        <v>0</v>
      </c>
      <c r="G46" s="37">
        <v>1</v>
      </c>
      <c r="H46" s="37" t="s">
        <v>562</v>
      </c>
    </row>
    <row r="47" spans="3:8">
      <c r="C47" s="37" t="s">
        <v>525</v>
      </c>
      <c r="D47" s="37" t="str">
        <f t="shared" si="2"/>
        <v>P860104_KN-0605_METRO</v>
      </c>
      <c r="E47" s="37">
        <v>3</v>
      </c>
      <c r="G47" s="37">
        <v>0</v>
      </c>
      <c r="H47" s="37" t="s">
        <v>342</v>
      </c>
    </row>
    <row r="48" spans="3:8">
      <c r="C48" s="37" t="s">
        <v>444</v>
      </c>
      <c r="D48" s="37" t="str">
        <f t="shared" si="2"/>
        <v>P860660_RU-1B22_RH</v>
      </c>
      <c r="E48" s="37">
        <v>4</v>
      </c>
      <c r="G48" s="37">
        <v>0</v>
      </c>
      <c r="H48" s="37" t="s">
        <v>441</v>
      </c>
    </row>
    <row r="49" spans="3:8">
      <c r="C49" s="37" t="s">
        <v>604</v>
      </c>
      <c r="D49" s="37" t="str">
        <f t="shared" si="2"/>
        <v>P863919_UL-90EA_ILL</v>
      </c>
      <c r="E49" s="37">
        <v>3</v>
      </c>
      <c r="G49" s="37">
        <v>0</v>
      </c>
      <c r="H49" s="37" t="s">
        <v>601</v>
      </c>
    </row>
    <row r="50" spans="3:8">
      <c r="C50" s="37" t="s">
        <v>477</v>
      </c>
      <c r="D50" s="37" t="str">
        <f t="shared" si="2"/>
        <v>P867917_CN-0001_ILL</v>
      </c>
      <c r="E50" s="37">
        <v>0</v>
      </c>
      <c r="G50" s="37">
        <v>2</v>
      </c>
      <c r="H50" s="37" t="s">
        <v>186</v>
      </c>
    </row>
    <row r="51" spans="3:8">
      <c r="C51" s="37" t="s">
        <v>494</v>
      </c>
      <c r="D51" s="37" t="str">
        <f t="shared" si="2"/>
        <v>P870861_PG-7406_REMA</v>
      </c>
      <c r="E51" s="37">
        <v>0</v>
      </c>
      <c r="G51" s="37">
        <v>1</v>
      </c>
      <c r="H51" s="37" t="s">
        <v>491</v>
      </c>
    </row>
    <row r="52" spans="3:8">
      <c r="C52" s="37" t="s">
        <v>510</v>
      </c>
      <c r="D52" s="37" t="str">
        <f t="shared" si="2"/>
        <v>P871028_WXP-021 _SRC</v>
      </c>
      <c r="E52" s="37">
        <v>0</v>
      </c>
      <c r="G52" s="37">
        <v>1</v>
      </c>
      <c r="H52" s="37" t="s">
        <v>802</v>
      </c>
    </row>
    <row r="53" spans="3:8">
      <c r="C53" s="37" t="s">
        <v>521</v>
      </c>
      <c r="D53" s="37" t="str">
        <f t="shared" si="2"/>
        <v>P872290_WP-2C1D_WS</v>
      </c>
      <c r="E53" s="37">
        <v>1</v>
      </c>
      <c r="G53" s="37">
        <v>0</v>
      </c>
      <c r="H53" s="37" t="s">
        <v>164</v>
      </c>
    </row>
    <row r="54" spans="3:8">
      <c r="C54" s="37" t="s">
        <v>534</v>
      </c>
      <c r="D54" s="37" t="str">
        <f t="shared" si="2"/>
        <v>P872439_KU-5113_METRO</v>
      </c>
      <c r="E54" s="37">
        <v>0</v>
      </c>
      <c r="G54" s="37">
        <v>4</v>
      </c>
      <c r="H54" s="37" t="s">
        <v>531</v>
      </c>
    </row>
    <row r="55" spans="3:8">
      <c r="C55" s="37" t="s">
        <v>505</v>
      </c>
      <c r="D55" s="37" t="str">
        <f t="shared" si="2"/>
        <v>P873253_RU-2B1D_RS</v>
      </c>
      <c r="E55" s="37">
        <v>1</v>
      </c>
      <c r="G55" s="37">
        <v>0</v>
      </c>
      <c r="H55" s="37" t="s">
        <v>502</v>
      </c>
    </row>
    <row r="56" spans="3:8">
      <c r="C56" s="37" t="s">
        <v>551</v>
      </c>
      <c r="D56" s="37" t="str">
        <f t="shared" si="2"/>
        <v>P877184_LZ-2004_UVLS</v>
      </c>
      <c r="E56" s="37">
        <v>0</v>
      </c>
      <c r="G56" s="37">
        <v>1</v>
      </c>
      <c r="H56" s="37" t="s">
        <v>548</v>
      </c>
    </row>
    <row r="57" spans="3:8">
      <c r="C57" s="37" t="s">
        <v>591</v>
      </c>
      <c r="D57" s="37" t="str">
        <f t="shared" si="2"/>
        <v>P885590_CG-A309_SD</v>
      </c>
      <c r="E57" s="37">
        <v>0</v>
      </c>
      <c r="G57" s="37">
        <v>2</v>
      </c>
      <c r="H57" s="37" t="s">
        <v>589</v>
      </c>
    </row>
    <row r="58" spans="3:8">
      <c r="C58" s="37" t="s">
        <v>585</v>
      </c>
      <c r="D58" s="37" t="str">
        <f t="shared" si="2"/>
        <v>P885744_LSH-00AC_SRC</v>
      </c>
      <c r="E58" s="37">
        <v>1</v>
      </c>
      <c r="G58" s="37">
        <v>0</v>
      </c>
      <c r="H58" s="37" t="s">
        <v>583</v>
      </c>
    </row>
    <row r="62" spans="3:8">
      <c r="C62" s="37"/>
      <c r="D62" s="37"/>
      <c r="G62" s="37"/>
      <c r="H62" s="37"/>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FAEC8-9A96-4E7C-96E1-5AFE1710BCDC}">
  <dimension ref="A1:BG134"/>
  <sheetViews>
    <sheetView workbookViewId="0">
      <selection activeCell="T20" sqref="T20"/>
    </sheetView>
  </sheetViews>
  <sheetFormatPr defaultRowHeight="15"/>
  <cols>
    <col min="1" max="1" width="3.85546875" bestFit="1" customWidth="1"/>
    <col min="2" max="2" width="7" bestFit="1" customWidth="1"/>
    <col min="4" max="4" width="12.85546875" customWidth="1"/>
    <col min="5" max="5" width="13.140625" customWidth="1"/>
    <col min="6" max="6" width="12.85546875" customWidth="1"/>
    <col min="7" max="7" width="13.140625" customWidth="1"/>
  </cols>
  <sheetData>
    <row r="1" spans="1:59">
      <c r="B1" t="s">
        <v>214</v>
      </c>
      <c r="C1" t="s">
        <v>218</v>
      </c>
      <c r="D1" t="s">
        <v>803</v>
      </c>
      <c r="E1" t="s">
        <v>804</v>
      </c>
      <c r="F1" t="s">
        <v>799</v>
      </c>
      <c r="G1" t="s">
        <v>800</v>
      </c>
      <c r="H1" t="s">
        <v>801</v>
      </c>
      <c r="I1" t="s">
        <v>805</v>
      </c>
    </row>
    <row r="2" spans="1:59">
      <c r="A2">
        <v>3</v>
      </c>
      <c r="B2">
        <v>202502</v>
      </c>
      <c r="C2" t="s">
        <v>324</v>
      </c>
      <c r="D2">
        <v>0</v>
      </c>
      <c r="E2">
        <v>1</v>
      </c>
      <c r="F2">
        <v>0</v>
      </c>
      <c r="G2">
        <v>0</v>
      </c>
      <c r="H2" t="s">
        <v>171</v>
      </c>
      <c r="I2">
        <v>1</v>
      </c>
      <c r="O2" s="37">
        <f>SUM(O4:O26)</f>
        <v>3</v>
      </c>
      <c r="P2" s="37">
        <f t="shared" ref="P2:BG2" si="0">SUM(P4:P26)</f>
        <v>3</v>
      </c>
      <c r="Q2" s="37">
        <f t="shared" si="0"/>
        <v>21</v>
      </c>
      <c r="R2" s="37">
        <f t="shared" si="0"/>
        <v>16</v>
      </c>
      <c r="S2" s="37">
        <f t="shared" si="0"/>
        <v>112</v>
      </c>
      <c r="T2" s="37">
        <f t="shared" si="0"/>
        <v>5</v>
      </c>
      <c r="U2" s="37">
        <f t="shared" si="0"/>
        <v>5</v>
      </c>
      <c r="V2" s="37">
        <f t="shared" si="0"/>
        <v>5</v>
      </c>
      <c r="W2" s="37">
        <f t="shared" si="0"/>
        <v>11</v>
      </c>
      <c r="X2" s="37">
        <f t="shared" si="0"/>
        <v>6</v>
      </c>
      <c r="Y2" s="37">
        <f t="shared" si="0"/>
        <v>79</v>
      </c>
      <c r="Z2" s="37">
        <f t="shared" si="0"/>
        <v>6</v>
      </c>
      <c r="AA2" s="37">
        <f t="shared" si="0"/>
        <v>6</v>
      </c>
      <c r="AB2" s="37">
        <f t="shared" si="0"/>
        <v>6</v>
      </c>
      <c r="AC2" s="37">
        <f t="shared" si="0"/>
        <v>6</v>
      </c>
      <c r="AD2" s="37">
        <f t="shared" si="0"/>
        <v>20</v>
      </c>
      <c r="AE2" s="37">
        <f t="shared" si="0"/>
        <v>7</v>
      </c>
      <c r="AF2" s="37">
        <f t="shared" si="0"/>
        <v>8</v>
      </c>
      <c r="AG2" s="37">
        <f t="shared" si="0"/>
        <v>9</v>
      </c>
      <c r="AH2" s="37">
        <f t="shared" si="0"/>
        <v>112</v>
      </c>
      <c r="AI2" s="37">
        <f t="shared" si="0"/>
        <v>24</v>
      </c>
      <c r="AJ2" s="37">
        <f t="shared" si="0"/>
        <v>11</v>
      </c>
      <c r="AK2" s="37">
        <f t="shared" si="0"/>
        <v>12</v>
      </c>
      <c r="AL2" s="37">
        <f t="shared" si="0"/>
        <v>12</v>
      </c>
      <c r="AM2" s="37">
        <f t="shared" si="0"/>
        <v>12</v>
      </c>
      <c r="AN2" s="37">
        <f t="shared" si="0"/>
        <v>25</v>
      </c>
      <c r="AO2" s="37">
        <f t="shared" si="0"/>
        <v>13</v>
      </c>
      <c r="AP2" s="37">
        <f t="shared" si="0"/>
        <v>26</v>
      </c>
      <c r="AQ2" s="37">
        <f t="shared" si="0"/>
        <v>26</v>
      </c>
      <c r="AR2" s="37">
        <f t="shared" si="0"/>
        <v>13</v>
      </c>
      <c r="AS2" s="37">
        <f t="shared" si="0"/>
        <v>13</v>
      </c>
      <c r="AT2" s="37">
        <f t="shared" si="0"/>
        <v>39</v>
      </c>
      <c r="AU2" s="37">
        <f t="shared" si="0"/>
        <v>13</v>
      </c>
      <c r="AV2" s="37">
        <f t="shared" si="0"/>
        <v>52</v>
      </c>
      <c r="AW2" s="37">
        <f t="shared" si="0"/>
        <v>13</v>
      </c>
      <c r="AX2" s="37">
        <f t="shared" si="0"/>
        <v>13</v>
      </c>
      <c r="AY2" s="37">
        <f t="shared" si="0"/>
        <v>13</v>
      </c>
      <c r="AZ2" s="37">
        <f t="shared" si="0"/>
        <v>13</v>
      </c>
      <c r="BA2" s="37">
        <f t="shared" si="0"/>
        <v>13</v>
      </c>
      <c r="BB2" s="37">
        <f t="shared" si="0"/>
        <v>13</v>
      </c>
      <c r="BC2" s="37">
        <f t="shared" si="0"/>
        <v>13</v>
      </c>
      <c r="BD2" s="37">
        <f t="shared" si="0"/>
        <v>26</v>
      </c>
      <c r="BE2" s="37">
        <f t="shared" si="0"/>
        <v>26</v>
      </c>
      <c r="BF2" s="37">
        <f t="shared" si="0"/>
        <v>39</v>
      </c>
      <c r="BG2" s="37">
        <f t="shared" si="0"/>
        <v>12</v>
      </c>
    </row>
    <row r="3" spans="1:59">
      <c r="A3">
        <v>4</v>
      </c>
      <c r="B3">
        <v>202502</v>
      </c>
      <c r="C3" t="s">
        <v>316</v>
      </c>
      <c r="D3">
        <v>0</v>
      </c>
      <c r="E3">
        <v>1</v>
      </c>
      <c r="F3">
        <v>0</v>
      </c>
      <c r="G3">
        <v>1</v>
      </c>
      <c r="H3" t="s">
        <v>184</v>
      </c>
      <c r="I3">
        <v>1</v>
      </c>
      <c r="L3" t="s">
        <v>806</v>
      </c>
      <c r="M3" t="s">
        <v>807</v>
      </c>
      <c r="N3" t="s">
        <v>808</v>
      </c>
      <c r="O3" s="325" t="s">
        <v>324</v>
      </c>
      <c r="P3" s="341" t="s">
        <v>316</v>
      </c>
      <c r="Q3" s="325" t="s">
        <v>243</v>
      </c>
      <c r="R3" s="341" t="s">
        <v>301</v>
      </c>
      <c r="S3" s="325" t="s">
        <v>271</v>
      </c>
      <c r="T3" s="341" t="s">
        <v>346</v>
      </c>
      <c r="U3" s="325" t="s">
        <v>352</v>
      </c>
      <c r="V3" s="341" t="s">
        <v>362</v>
      </c>
      <c r="W3" s="325" t="s">
        <v>366</v>
      </c>
      <c r="X3" s="341" t="s">
        <v>384</v>
      </c>
      <c r="Y3" s="325" t="s">
        <v>402</v>
      </c>
      <c r="Z3" s="341" t="s">
        <v>397</v>
      </c>
      <c r="AA3" s="341" t="s">
        <v>388</v>
      </c>
      <c r="AB3" s="325" t="s">
        <v>380</v>
      </c>
      <c r="AC3" s="341" t="s">
        <v>408</v>
      </c>
      <c r="AD3" s="325" t="s">
        <v>416</v>
      </c>
      <c r="AE3" s="325" t="s">
        <v>423</v>
      </c>
      <c r="AF3" s="325" t="s">
        <v>428</v>
      </c>
      <c r="AG3" s="325" t="s">
        <v>436</v>
      </c>
      <c r="AH3" s="325" t="s">
        <v>444</v>
      </c>
      <c r="AI3" s="341" t="s">
        <v>451</v>
      </c>
      <c r="AJ3" s="341" t="s">
        <v>459</v>
      </c>
      <c r="AK3" s="325" t="s">
        <v>469</v>
      </c>
      <c r="AL3" s="325" t="s">
        <v>465</v>
      </c>
      <c r="AM3" s="341" t="s">
        <v>473</v>
      </c>
      <c r="AN3" s="341" t="s">
        <v>477</v>
      </c>
      <c r="AO3" s="325" t="s">
        <v>490</v>
      </c>
      <c r="AP3" s="325" t="s">
        <v>494</v>
      </c>
      <c r="AQ3" s="341" t="s">
        <v>501</v>
      </c>
      <c r="AR3" s="325" t="s">
        <v>510</v>
      </c>
      <c r="AS3" s="341" t="s">
        <v>505</v>
      </c>
      <c r="AT3" s="325" t="s">
        <v>525</v>
      </c>
      <c r="AU3" s="325" t="s">
        <v>521</v>
      </c>
      <c r="AV3" s="341" t="s">
        <v>534</v>
      </c>
      <c r="AW3" s="341" t="s">
        <v>547</v>
      </c>
      <c r="AX3" s="325" t="s">
        <v>554</v>
      </c>
      <c r="AY3" s="341" t="s">
        <v>551</v>
      </c>
      <c r="AZ3" s="325" t="s">
        <v>565</v>
      </c>
      <c r="BA3" s="341" t="s">
        <v>574</v>
      </c>
      <c r="BB3" s="325" t="s">
        <v>582</v>
      </c>
      <c r="BC3" s="341" t="s">
        <v>585</v>
      </c>
      <c r="BD3" s="325" t="s">
        <v>591</v>
      </c>
      <c r="BE3" s="341" t="s">
        <v>597</v>
      </c>
      <c r="BF3" s="341" t="s">
        <v>604</v>
      </c>
      <c r="BG3" s="341" t="s">
        <v>610</v>
      </c>
    </row>
    <row r="4" spans="1:59">
      <c r="A4">
        <v>5</v>
      </c>
      <c r="B4">
        <v>202502</v>
      </c>
      <c r="C4" t="s">
        <v>243</v>
      </c>
      <c r="D4">
        <v>1</v>
      </c>
      <c r="E4">
        <v>0</v>
      </c>
      <c r="F4">
        <v>0</v>
      </c>
      <c r="G4">
        <v>0</v>
      </c>
      <c r="H4" t="s">
        <v>240</v>
      </c>
      <c r="I4">
        <v>1</v>
      </c>
      <c r="L4">
        <v>202512</v>
      </c>
      <c r="M4">
        <f>L4-12</f>
        <v>202500</v>
      </c>
      <c r="N4">
        <f>SUM(O4:BG4)</f>
        <v>53</v>
      </c>
      <c r="O4">
        <f>SUMIFS(Table19[n],Table19[AIR2],"="&amp;O$3,Table19[WY],"&gt;="&amp;$M4,Table19[WY],"&lt;="&amp;$L4)</f>
        <v>1</v>
      </c>
      <c r="P4">
        <f>SUMIFS(Table19[n],Table19[AIR2],"="&amp;P$3,Table19[WY],"&gt;="&amp;$M4,Table19[WY],"&lt;="&amp;$L4)</f>
        <v>1</v>
      </c>
      <c r="Q4">
        <f>SUMIFS(Table19[n],Table19[AIR2],"="&amp;Q$3,Table19[WY],"&gt;="&amp;$M4,Table19[WY],"&lt;="&amp;$L4)</f>
        <v>3</v>
      </c>
      <c r="R4">
        <f>SUMIFS(Table19[n],Table19[AIR2],"="&amp;R$3,Table19[WY],"&gt;="&amp;$M4,Table19[WY],"&lt;="&amp;$L4)</f>
        <v>4</v>
      </c>
      <c r="S4">
        <f>SUMIFS(Table19[n],Table19[AIR2],"="&amp;S$3,Table19[WY],"&gt;="&amp;$M4,Table19[WY],"&lt;="&amp;$L4)</f>
        <v>14</v>
      </c>
      <c r="T4">
        <f>SUMIFS(Table19[n],Table19[AIR2],"="&amp;T$3,Table19[WY],"&gt;="&amp;$M4,Table19[WY],"&lt;="&amp;$L4)</f>
        <v>1</v>
      </c>
      <c r="U4">
        <f>SUMIFS(Table19[n],Table19[AIR2],"="&amp;U$3,Table19[WY],"&gt;="&amp;$M4,Table19[WY],"&lt;="&amp;$L4)</f>
        <v>1</v>
      </c>
      <c r="V4">
        <f>SUMIFS(Table19[n],Table19[AIR2],"="&amp;V$3,Table19[WY],"&gt;="&amp;$M4,Table19[WY],"&lt;="&amp;$L4)</f>
        <v>1</v>
      </c>
      <c r="W4">
        <f>SUMIFS(Table19[n],Table19[AIR2],"="&amp;W$3,Table19[WY],"&gt;="&amp;$M4,Table19[WY],"&lt;="&amp;$L4)</f>
        <v>2</v>
      </c>
      <c r="X4">
        <f>SUMIFS(Table19[n],Table19[AIR2],"="&amp;X$3,Table19[WY],"&gt;="&amp;$M4,Table19[WY],"&lt;="&amp;$L4)</f>
        <v>1</v>
      </c>
      <c r="Y4">
        <f>SUMIFS(Table19[n],Table19[AIR2],"="&amp;Y$3,Table19[WY],"&gt;="&amp;$M4,Table19[WY],"&lt;="&amp;$L4)</f>
        <v>3</v>
      </c>
      <c r="Z4">
        <f>SUMIFS(Table19[n],Table19[AIR2],"="&amp;Z$3,Table19[WY],"&gt;="&amp;$M4,Table19[WY],"&lt;="&amp;$L4)</f>
        <v>1</v>
      </c>
      <c r="AA4">
        <f>SUMIFS(Table19[n],Table19[AIR2],"="&amp;AA$3,Table19[WY],"&gt;="&amp;$M4,Table19[WY],"&lt;="&amp;$L4)</f>
        <v>1</v>
      </c>
      <c r="AB4">
        <f>SUMIFS(Table19[n],Table19[AIR2],"="&amp;AB$3,Table19[WY],"&gt;="&amp;$M4,Table19[WY],"&lt;="&amp;$L4)</f>
        <v>1</v>
      </c>
      <c r="AC4">
        <f>SUMIFS(Table19[n],Table19[AIR2],"="&amp;AC$3,Table19[WY],"&gt;="&amp;$M4,Table19[WY],"&lt;="&amp;$L4)</f>
        <v>1</v>
      </c>
      <c r="AD4">
        <f>SUMIFS(Table19[n],Table19[AIR2],"="&amp;AD$3,Table19[WY],"&gt;="&amp;$M4,Table19[WY],"&lt;="&amp;$L4)</f>
        <v>1</v>
      </c>
      <c r="AE4">
        <f>SUMIFS(Table19[n],Table19[AIR2],"="&amp;AE$3,Table19[WY],"&gt;="&amp;$M4,Table19[WY],"&lt;="&amp;$L4)</f>
        <v>1</v>
      </c>
      <c r="AF4">
        <f>SUMIFS(Table19[n],Table19[AIR2],"="&amp;AF$3,Table19[WY],"&gt;="&amp;$M4,Table19[WY],"&lt;="&amp;$L4)</f>
        <v>1</v>
      </c>
      <c r="AG4">
        <f>SUMIFS(Table19[n],Table19[AIR2],"="&amp;AG$3,Table19[WY],"&gt;="&amp;$M4,Table19[WY],"&lt;="&amp;$L4)</f>
        <v>1</v>
      </c>
      <c r="AH4">
        <f>SUMIFS(Table19[n],Table19[AIR2],"="&amp;AH$3,Table19[WY],"&gt;="&amp;$M4,Table19[WY],"&lt;="&amp;$L4)</f>
        <v>4</v>
      </c>
      <c r="AI4">
        <f>SUMIFS(Table19[n],Table19[AIR2],"="&amp;AI$3,Table19[WY],"&gt;="&amp;$M4,Table19[WY],"&lt;="&amp;$L4)</f>
        <v>1</v>
      </c>
      <c r="AJ4">
        <f>SUMIFS(Table19[n],Table19[AIR2],"="&amp;AJ$3,Table19[WY],"&gt;="&amp;$M4,Table19[WY],"&lt;="&amp;$L4)</f>
        <v>1</v>
      </c>
      <c r="AK4">
        <f>SUMIFS(Table19[n],Table19[AIR2],"="&amp;AK$3,Table19[WY],"&gt;="&amp;$M4,Table19[WY],"&lt;="&amp;$L4)</f>
        <v>1</v>
      </c>
      <c r="AL4">
        <f>SUMIFS(Table19[n],Table19[AIR2],"="&amp;AL$3,Table19[WY],"&gt;="&amp;$M4,Table19[WY],"&lt;="&amp;$L4)</f>
        <v>1</v>
      </c>
      <c r="AM4">
        <f>SUMIFS(Table19[n],Table19[AIR2],"="&amp;AM$3,Table19[WY],"&gt;="&amp;$M4,Table19[WY],"&lt;="&amp;$L4)</f>
        <v>1</v>
      </c>
      <c r="AN4">
        <f>SUMIFS(Table19[n],Table19[AIR2],"="&amp;AN$3,Table19[WY],"&gt;="&amp;$M4,Table19[WY],"&lt;="&amp;$L4)</f>
        <v>1</v>
      </c>
      <c r="AO4">
        <f>SUMIFS(Table19[n],Table19[AIR2],"="&amp;AO$3,Table19[WY],"&gt;="&amp;$M4,Table19[WY],"&lt;="&amp;$L4)</f>
        <v>1</v>
      </c>
      <c r="AP4">
        <f>SUMIFS(Table19[n],Table19[AIR2],"="&amp;AP$3,Table19[WY],"&gt;="&amp;$M4,Table19[WY],"&lt;="&amp;$L4)</f>
        <v>2</v>
      </c>
      <c r="AQ4">
        <f>SUMIFS(Table19[n],Table19[AIR2],"="&amp;AQ$3,Table19[WY],"&gt;="&amp;$M4,Table19[WY],"&lt;="&amp;$L4)</f>
        <v>0</v>
      </c>
      <c r="AR4">
        <f>SUMIFS(Table19[n],Table19[AIR2],"="&amp;AR$3,Table19[WY],"&gt;="&amp;$M4,Table19[WY],"&lt;="&amp;$L4)</f>
        <v>0</v>
      </c>
      <c r="AS4">
        <f>SUMIFS(Table19[n],Table19[AIR2],"="&amp;AS$3,Table19[WY],"&gt;="&amp;$M4,Table19[WY],"&lt;="&amp;$L4)</f>
        <v>0</v>
      </c>
      <c r="AT4">
        <f>SUMIFS(Table19[n],Table19[AIR2],"="&amp;AT$3,Table19[WY],"&gt;="&amp;$M4,Table19[WY],"&lt;="&amp;$L4)</f>
        <v>0</v>
      </c>
      <c r="AU4">
        <f>SUMIFS(Table19[n],Table19[AIR2],"="&amp;AU$3,Table19[WY],"&gt;="&amp;$M4,Table19[WY],"&lt;="&amp;$L4)</f>
        <v>0</v>
      </c>
      <c r="AV4">
        <f>SUMIFS(Table19[n],Table19[AIR2],"="&amp;AV$3,Table19[WY],"&gt;="&amp;$M4,Table19[WY],"&lt;="&amp;$L4)</f>
        <v>0</v>
      </c>
      <c r="AW4">
        <f>SUMIFS(Table19[n],Table19[AIR2],"="&amp;AW$3,Table19[WY],"&gt;="&amp;$M4,Table19[WY],"&lt;="&amp;$L4)</f>
        <v>0</v>
      </c>
      <c r="AX4">
        <f>SUMIFS(Table19[n],Table19[AIR2],"="&amp;AX$3,Table19[WY],"&gt;="&amp;$M4,Table19[WY],"&lt;="&amp;$L4)</f>
        <v>0</v>
      </c>
      <c r="AY4">
        <f>SUMIFS(Table19[n],Table19[AIR2],"="&amp;AY$3,Table19[WY],"&gt;="&amp;$M4,Table19[WY],"&lt;="&amp;$L4)</f>
        <v>0</v>
      </c>
      <c r="AZ4">
        <f>SUMIFS(Table19[n],Table19[AIR2],"="&amp;AZ$3,Table19[WY],"&gt;="&amp;$M4,Table19[WY],"&lt;="&amp;$L4)</f>
        <v>0</v>
      </c>
      <c r="BA4">
        <f>SUMIFS(Table19[n],Table19[AIR2],"="&amp;BA$3,Table19[WY],"&gt;="&amp;$M4,Table19[WY],"&lt;="&amp;$L4)</f>
        <v>0</v>
      </c>
      <c r="BB4">
        <f>SUMIFS(Table19[n],Table19[AIR2],"="&amp;BB$3,Table19[WY],"&gt;="&amp;$M4,Table19[WY],"&lt;="&amp;$L4)</f>
        <v>0</v>
      </c>
      <c r="BC4">
        <f>SUMIFS(Table19[n],Table19[AIR2],"="&amp;BC$3,Table19[WY],"&gt;="&amp;$M4,Table19[WY],"&lt;="&amp;$L4)</f>
        <v>0</v>
      </c>
      <c r="BD4">
        <f>SUMIFS(Table19[n],Table19[AIR2],"="&amp;BD$3,Table19[WY],"&gt;="&amp;$M4,Table19[WY],"&lt;="&amp;$L4)</f>
        <v>0</v>
      </c>
      <c r="BE4">
        <f>SUMIFS(Table19[n],Table19[AIR2],"="&amp;BE$3,Table19[WY],"&gt;="&amp;$M4,Table19[WY],"&lt;="&amp;$L4)</f>
        <v>0</v>
      </c>
      <c r="BF4">
        <f>SUMIFS(Table19[n],Table19[AIR2],"="&amp;BF$3,Table19[WY],"&gt;="&amp;$M4,Table19[WY],"&lt;="&amp;$L4)</f>
        <v>0</v>
      </c>
      <c r="BG4">
        <f>SUMIFS(Table19[n],Table19[AIR2],"="&amp;BG$3,Table19[WY],"&gt;="&amp;$M4,Table19[WY],"&lt;="&amp;$L4)</f>
        <v>0</v>
      </c>
    </row>
    <row r="5" spans="1:59">
      <c r="A5">
        <v>6</v>
      </c>
      <c r="B5">
        <v>202502</v>
      </c>
      <c r="C5" t="s">
        <v>301</v>
      </c>
      <c r="D5">
        <v>1</v>
      </c>
      <c r="E5">
        <v>1</v>
      </c>
      <c r="F5">
        <v>0</v>
      </c>
      <c r="G5">
        <v>0</v>
      </c>
      <c r="H5" t="s">
        <v>809</v>
      </c>
      <c r="I5">
        <v>2</v>
      </c>
      <c r="L5">
        <v>202513</v>
      </c>
      <c r="M5">
        <f t="shared" ref="M5:M26" si="1">L5-12</f>
        <v>202501</v>
      </c>
      <c r="N5">
        <f t="shared" ref="N5:N26" si="2">SUM(O5:BG5)</f>
        <v>56</v>
      </c>
      <c r="O5">
        <f>SUMIFS(Table19[n],Table19[AIR2],"="&amp;O$3,Table19[WY],"&gt;="&amp;$M5,Table19[WY],"&lt;="&amp;$L5)</f>
        <v>1</v>
      </c>
      <c r="P5">
        <f>SUMIFS(Table19[n],Table19[AIR2],"="&amp;P$3,Table19[WY],"&gt;="&amp;$M5,Table19[WY],"&lt;="&amp;$L5)</f>
        <v>1</v>
      </c>
      <c r="Q5">
        <f>SUMIFS(Table19[n],Table19[AIR2],"="&amp;Q$3,Table19[WY],"&gt;="&amp;$M5,Table19[WY],"&lt;="&amp;$L5)</f>
        <v>3</v>
      </c>
      <c r="R5">
        <f>SUMIFS(Table19[n],Table19[AIR2],"="&amp;R$3,Table19[WY],"&gt;="&amp;$M5,Table19[WY],"&lt;="&amp;$L5)</f>
        <v>4</v>
      </c>
      <c r="S5">
        <f>SUMIFS(Table19[n],Table19[AIR2],"="&amp;S$3,Table19[WY],"&gt;="&amp;$M5,Table19[WY],"&lt;="&amp;$L5)</f>
        <v>14</v>
      </c>
      <c r="T5">
        <f>SUMIFS(Table19[n],Table19[AIR2],"="&amp;T$3,Table19[WY],"&gt;="&amp;$M5,Table19[WY],"&lt;="&amp;$L5)</f>
        <v>1</v>
      </c>
      <c r="U5">
        <f>SUMIFS(Table19[n],Table19[AIR2],"="&amp;U$3,Table19[WY],"&gt;="&amp;$M5,Table19[WY],"&lt;="&amp;$L5)</f>
        <v>1</v>
      </c>
      <c r="V5">
        <f>SUMIFS(Table19[n],Table19[AIR2],"="&amp;V$3,Table19[WY],"&gt;="&amp;$M5,Table19[WY],"&lt;="&amp;$L5)</f>
        <v>1</v>
      </c>
      <c r="W5">
        <f>SUMIFS(Table19[n],Table19[AIR2],"="&amp;W$3,Table19[WY],"&gt;="&amp;$M5,Table19[WY],"&lt;="&amp;$L5)</f>
        <v>2</v>
      </c>
      <c r="X5">
        <f>SUMIFS(Table19[n],Table19[AIR2],"="&amp;X$3,Table19[WY],"&gt;="&amp;$M5,Table19[WY],"&lt;="&amp;$L5)</f>
        <v>1</v>
      </c>
      <c r="Y5">
        <f>SUMIFS(Table19[n],Table19[AIR2],"="&amp;Y$3,Table19[WY],"&gt;="&amp;$M5,Table19[WY],"&lt;="&amp;$L5)</f>
        <v>3</v>
      </c>
      <c r="Z5">
        <f>SUMIFS(Table19[n],Table19[AIR2],"="&amp;Z$3,Table19[WY],"&gt;="&amp;$M5,Table19[WY],"&lt;="&amp;$L5)</f>
        <v>1</v>
      </c>
      <c r="AA5">
        <f>SUMIFS(Table19[n],Table19[AIR2],"="&amp;AA$3,Table19[WY],"&gt;="&amp;$M5,Table19[WY],"&lt;="&amp;$L5)</f>
        <v>1</v>
      </c>
      <c r="AB5">
        <f>SUMIFS(Table19[n],Table19[AIR2],"="&amp;AB$3,Table19[WY],"&gt;="&amp;$M5,Table19[WY],"&lt;="&amp;$L5)</f>
        <v>1</v>
      </c>
      <c r="AC5">
        <f>SUMIFS(Table19[n],Table19[AIR2],"="&amp;AC$3,Table19[WY],"&gt;="&amp;$M5,Table19[WY],"&lt;="&amp;$L5)</f>
        <v>1</v>
      </c>
      <c r="AD5">
        <f>SUMIFS(Table19[n],Table19[AIR2],"="&amp;AD$3,Table19[WY],"&gt;="&amp;$M5,Table19[WY],"&lt;="&amp;$L5)</f>
        <v>1</v>
      </c>
      <c r="AE5">
        <f>SUMIFS(Table19[n],Table19[AIR2],"="&amp;AE$3,Table19[WY],"&gt;="&amp;$M5,Table19[WY],"&lt;="&amp;$L5)</f>
        <v>1</v>
      </c>
      <c r="AF5">
        <f>SUMIFS(Table19[n],Table19[AIR2],"="&amp;AF$3,Table19[WY],"&gt;="&amp;$M5,Table19[WY],"&lt;="&amp;$L5)</f>
        <v>1</v>
      </c>
      <c r="AG5">
        <f>SUMIFS(Table19[n],Table19[AIR2],"="&amp;AG$3,Table19[WY],"&gt;="&amp;$M5,Table19[WY],"&lt;="&amp;$L5)</f>
        <v>1</v>
      </c>
      <c r="AH5">
        <f>SUMIFS(Table19[n],Table19[AIR2],"="&amp;AH$3,Table19[WY],"&gt;="&amp;$M5,Table19[WY],"&lt;="&amp;$L5)</f>
        <v>4</v>
      </c>
      <c r="AI5">
        <f>SUMIFS(Table19[n],Table19[AIR2],"="&amp;AI$3,Table19[WY],"&gt;="&amp;$M5,Table19[WY],"&lt;="&amp;$L5)</f>
        <v>1</v>
      </c>
      <c r="AJ5">
        <f>SUMIFS(Table19[n],Table19[AIR2],"="&amp;AJ$3,Table19[WY],"&gt;="&amp;$M5,Table19[WY],"&lt;="&amp;$L5)</f>
        <v>1</v>
      </c>
      <c r="AK5">
        <f>SUMIFS(Table19[n],Table19[AIR2],"="&amp;AK$3,Table19[WY],"&gt;="&amp;$M5,Table19[WY],"&lt;="&amp;$L5)</f>
        <v>1</v>
      </c>
      <c r="AL5">
        <f>SUMIFS(Table19[n],Table19[AIR2],"="&amp;AL$3,Table19[WY],"&gt;="&amp;$M5,Table19[WY],"&lt;="&amp;$L5)</f>
        <v>1</v>
      </c>
      <c r="AM5">
        <f>SUMIFS(Table19[n],Table19[AIR2],"="&amp;AM$3,Table19[WY],"&gt;="&amp;$M5,Table19[WY],"&lt;="&amp;$L5)</f>
        <v>1</v>
      </c>
      <c r="AN5">
        <f>SUMIFS(Table19[n],Table19[AIR2],"="&amp;AN$3,Table19[WY],"&gt;="&amp;$M5,Table19[WY],"&lt;="&amp;$L5)</f>
        <v>1</v>
      </c>
      <c r="AO5">
        <f>SUMIFS(Table19[n],Table19[AIR2],"="&amp;AO$3,Table19[WY],"&gt;="&amp;$M5,Table19[WY],"&lt;="&amp;$L5)</f>
        <v>1</v>
      </c>
      <c r="AP5">
        <f>SUMIFS(Table19[n],Table19[AIR2],"="&amp;AP$3,Table19[WY],"&gt;="&amp;$M5,Table19[WY],"&lt;="&amp;$L5)</f>
        <v>2</v>
      </c>
      <c r="AQ5">
        <f>SUMIFS(Table19[n],Table19[AIR2],"="&amp;AQ$3,Table19[WY],"&gt;="&amp;$M5,Table19[WY],"&lt;="&amp;$L5)</f>
        <v>1</v>
      </c>
      <c r="AR5">
        <f>SUMIFS(Table19[n],Table19[AIR2],"="&amp;AR$3,Table19[WY],"&gt;="&amp;$M5,Table19[WY],"&lt;="&amp;$L5)</f>
        <v>1</v>
      </c>
      <c r="AS5">
        <f>SUMIFS(Table19[n],Table19[AIR2],"="&amp;AS$3,Table19[WY],"&gt;="&amp;$M5,Table19[WY],"&lt;="&amp;$L5)</f>
        <v>1</v>
      </c>
      <c r="AT5">
        <f>SUMIFS(Table19[n],Table19[AIR2],"="&amp;AT$3,Table19[WY],"&gt;="&amp;$M5,Table19[WY],"&lt;="&amp;$L5)</f>
        <v>0</v>
      </c>
      <c r="AU5">
        <f>SUMIFS(Table19[n],Table19[AIR2],"="&amp;AU$3,Table19[WY],"&gt;="&amp;$M5,Table19[WY],"&lt;="&amp;$L5)</f>
        <v>0</v>
      </c>
      <c r="AV5">
        <f>SUMIFS(Table19[n],Table19[AIR2],"="&amp;AV$3,Table19[WY],"&gt;="&amp;$M5,Table19[WY],"&lt;="&amp;$L5)</f>
        <v>0</v>
      </c>
      <c r="AW5">
        <f>SUMIFS(Table19[n],Table19[AIR2],"="&amp;AW$3,Table19[WY],"&gt;="&amp;$M5,Table19[WY],"&lt;="&amp;$L5)</f>
        <v>0</v>
      </c>
      <c r="AX5">
        <f>SUMIFS(Table19[n],Table19[AIR2],"="&amp;AX$3,Table19[WY],"&gt;="&amp;$M5,Table19[WY],"&lt;="&amp;$L5)</f>
        <v>0</v>
      </c>
      <c r="AY5">
        <f>SUMIFS(Table19[n],Table19[AIR2],"="&amp;AY$3,Table19[WY],"&gt;="&amp;$M5,Table19[WY],"&lt;="&amp;$L5)</f>
        <v>0</v>
      </c>
      <c r="AZ5">
        <f>SUMIFS(Table19[n],Table19[AIR2],"="&amp;AZ$3,Table19[WY],"&gt;="&amp;$M5,Table19[WY],"&lt;="&amp;$L5)</f>
        <v>0</v>
      </c>
      <c r="BA5">
        <f>SUMIFS(Table19[n],Table19[AIR2],"="&amp;BA$3,Table19[WY],"&gt;="&amp;$M5,Table19[WY],"&lt;="&amp;$L5)</f>
        <v>0</v>
      </c>
      <c r="BB5">
        <f>SUMIFS(Table19[n],Table19[AIR2],"="&amp;BB$3,Table19[WY],"&gt;="&amp;$M5,Table19[WY],"&lt;="&amp;$L5)</f>
        <v>0</v>
      </c>
      <c r="BC5">
        <f>SUMIFS(Table19[n],Table19[AIR2],"="&amp;BC$3,Table19[WY],"&gt;="&amp;$M5,Table19[WY],"&lt;="&amp;$L5)</f>
        <v>0</v>
      </c>
      <c r="BD5">
        <f>SUMIFS(Table19[n],Table19[AIR2],"="&amp;BD$3,Table19[WY],"&gt;="&amp;$M5,Table19[WY],"&lt;="&amp;$L5)</f>
        <v>0</v>
      </c>
      <c r="BE5">
        <f>SUMIFS(Table19[n],Table19[AIR2],"="&amp;BE$3,Table19[WY],"&gt;="&amp;$M5,Table19[WY],"&lt;="&amp;$L5)</f>
        <v>0</v>
      </c>
      <c r="BF5">
        <f>SUMIFS(Table19[n],Table19[AIR2],"="&amp;BF$3,Table19[WY],"&gt;="&amp;$M5,Table19[WY],"&lt;="&amp;$L5)</f>
        <v>0</v>
      </c>
      <c r="BG5">
        <f>SUMIFS(Table19[n],Table19[AIR2],"="&amp;BG$3,Table19[WY],"&gt;="&amp;$M5,Table19[WY],"&lt;="&amp;$L5)</f>
        <v>0</v>
      </c>
    </row>
    <row r="6" spans="1:59">
      <c r="A6">
        <v>7</v>
      </c>
      <c r="B6">
        <v>202502</v>
      </c>
      <c r="C6" t="s">
        <v>271</v>
      </c>
      <c r="D6">
        <v>0</v>
      </c>
      <c r="E6">
        <v>2</v>
      </c>
      <c r="F6">
        <v>0</v>
      </c>
      <c r="G6">
        <v>2</v>
      </c>
      <c r="H6" t="s">
        <v>251</v>
      </c>
      <c r="I6">
        <v>2</v>
      </c>
      <c r="L6">
        <v>202514</v>
      </c>
      <c r="M6">
        <f t="shared" si="1"/>
        <v>202502</v>
      </c>
      <c r="N6">
        <f t="shared" si="2"/>
        <v>67</v>
      </c>
      <c r="O6">
        <f>SUMIFS(Table19[n],Table19[AIR2],"="&amp;O$3,Table19[WY],"&gt;="&amp;$M6,Table19[WY],"&lt;="&amp;$L6)</f>
        <v>1</v>
      </c>
      <c r="P6">
        <f>SUMIFS(Table19[n],Table19[AIR2],"="&amp;P$3,Table19[WY],"&gt;="&amp;$M6,Table19[WY],"&lt;="&amp;$L6)</f>
        <v>1</v>
      </c>
      <c r="Q6">
        <f>SUMIFS(Table19[n],Table19[AIR2],"="&amp;Q$3,Table19[WY],"&gt;="&amp;$M6,Table19[WY],"&lt;="&amp;$L6)</f>
        <v>3</v>
      </c>
      <c r="R6">
        <f>SUMIFS(Table19[n],Table19[AIR2],"="&amp;R$3,Table19[WY],"&gt;="&amp;$M6,Table19[WY],"&lt;="&amp;$L6)</f>
        <v>4</v>
      </c>
      <c r="S6">
        <f>SUMIFS(Table19[n],Table19[AIR2],"="&amp;S$3,Table19[WY],"&gt;="&amp;$M6,Table19[WY],"&lt;="&amp;$L6)</f>
        <v>14</v>
      </c>
      <c r="T6">
        <f>SUMIFS(Table19[n],Table19[AIR2],"="&amp;T$3,Table19[WY],"&gt;="&amp;$M6,Table19[WY],"&lt;="&amp;$L6)</f>
        <v>1</v>
      </c>
      <c r="U6">
        <f>SUMIFS(Table19[n],Table19[AIR2],"="&amp;U$3,Table19[WY],"&gt;="&amp;$M6,Table19[WY],"&lt;="&amp;$L6)</f>
        <v>1</v>
      </c>
      <c r="V6">
        <f>SUMIFS(Table19[n],Table19[AIR2],"="&amp;V$3,Table19[WY],"&gt;="&amp;$M6,Table19[WY],"&lt;="&amp;$L6)</f>
        <v>1</v>
      </c>
      <c r="W6">
        <f>SUMIFS(Table19[n],Table19[AIR2],"="&amp;W$3,Table19[WY],"&gt;="&amp;$M6,Table19[WY],"&lt;="&amp;$L6)</f>
        <v>2</v>
      </c>
      <c r="X6">
        <f>SUMIFS(Table19[n],Table19[AIR2],"="&amp;X$3,Table19[WY],"&gt;="&amp;$M6,Table19[WY],"&lt;="&amp;$L6)</f>
        <v>1</v>
      </c>
      <c r="Y6">
        <f>SUMIFS(Table19[n],Table19[AIR2],"="&amp;Y$3,Table19[WY],"&gt;="&amp;$M6,Table19[WY],"&lt;="&amp;$L6)</f>
        <v>3</v>
      </c>
      <c r="Z6">
        <f>SUMIFS(Table19[n],Table19[AIR2],"="&amp;Z$3,Table19[WY],"&gt;="&amp;$M6,Table19[WY],"&lt;="&amp;$L6)</f>
        <v>1</v>
      </c>
      <c r="AA6">
        <f>SUMIFS(Table19[n],Table19[AIR2],"="&amp;AA$3,Table19[WY],"&gt;="&amp;$M6,Table19[WY],"&lt;="&amp;$L6)</f>
        <v>1</v>
      </c>
      <c r="AB6">
        <f>SUMIFS(Table19[n],Table19[AIR2],"="&amp;AB$3,Table19[WY],"&gt;="&amp;$M6,Table19[WY],"&lt;="&amp;$L6)</f>
        <v>1</v>
      </c>
      <c r="AC6">
        <f>SUMIFS(Table19[n],Table19[AIR2],"="&amp;AC$3,Table19[WY],"&gt;="&amp;$M6,Table19[WY],"&lt;="&amp;$L6)</f>
        <v>1</v>
      </c>
      <c r="AD6">
        <f>SUMIFS(Table19[n],Table19[AIR2],"="&amp;AD$3,Table19[WY],"&gt;="&amp;$M6,Table19[WY],"&lt;="&amp;$L6)</f>
        <v>2</v>
      </c>
      <c r="AE6">
        <f>SUMIFS(Table19[n],Table19[AIR2],"="&amp;AE$3,Table19[WY],"&gt;="&amp;$M6,Table19[WY],"&lt;="&amp;$L6)</f>
        <v>1</v>
      </c>
      <c r="AF6">
        <f>SUMIFS(Table19[n],Table19[AIR2],"="&amp;AF$3,Table19[WY],"&gt;="&amp;$M6,Table19[WY],"&lt;="&amp;$L6)</f>
        <v>1</v>
      </c>
      <c r="AG6">
        <f>SUMIFS(Table19[n],Table19[AIR2],"="&amp;AG$3,Table19[WY],"&gt;="&amp;$M6,Table19[WY],"&lt;="&amp;$L6)</f>
        <v>1</v>
      </c>
      <c r="AH6">
        <f>SUMIFS(Table19[n],Table19[AIR2],"="&amp;AH$3,Table19[WY],"&gt;="&amp;$M6,Table19[WY],"&lt;="&amp;$L6)</f>
        <v>7</v>
      </c>
      <c r="AI6">
        <f>SUMIFS(Table19[n],Table19[AIR2],"="&amp;AI$3,Table19[WY],"&gt;="&amp;$M6,Table19[WY],"&lt;="&amp;$L6)</f>
        <v>2</v>
      </c>
      <c r="AJ6">
        <f>SUMIFS(Table19[n],Table19[AIR2],"="&amp;AJ$3,Table19[WY],"&gt;="&amp;$M6,Table19[WY],"&lt;="&amp;$L6)</f>
        <v>1</v>
      </c>
      <c r="AK6">
        <f>SUMIFS(Table19[n],Table19[AIR2],"="&amp;AK$3,Table19[WY],"&gt;="&amp;$M6,Table19[WY],"&lt;="&amp;$L6)</f>
        <v>1</v>
      </c>
      <c r="AL6">
        <f>SUMIFS(Table19[n],Table19[AIR2],"="&amp;AL$3,Table19[WY],"&gt;="&amp;$M6,Table19[WY],"&lt;="&amp;$L6)</f>
        <v>1</v>
      </c>
      <c r="AM6">
        <f>SUMIFS(Table19[n],Table19[AIR2],"="&amp;AM$3,Table19[WY],"&gt;="&amp;$M6,Table19[WY],"&lt;="&amp;$L6)</f>
        <v>1</v>
      </c>
      <c r="AN6">
        <f>SUMIFS(Table19[n],Table19[AIR2],"="&amp;AN$3,Table19[WY],"&gt;="&amp;$M6,Table19[WY],"&lt;="&amp;$L6)</f>
        <v>1</v>
      </c>
      <c r="AO6">
        <f>SUMIFS(Table19[n],Table19[AIR2],"="&amp;AO$3,Table19[WY],"&gt;="&amp;$M6,Table19[WY],"&lt;="&amp;$L6)</f>
        <v>1</v>
      </c>
      <c r="AP6">
        <f>SUMIFS(Table19[n],Table19[AIR2],"="&amp;AP$3,Table19[WY],"&gt;="&amp;$M6,Table19[WY],"&lt;="&amp;$L6)</f>
        <v>2</v>
      </c>
      <c r="AQ6">
        <f>SUMIFS(Table19[n],Table19[AIR2],"="&amp;AQ$3,Table19[WY],"&gt;="&amp;$M6,Table19[WY],"&lt;="&amp;$L6)</f>
        <v>1</v>
      </c>
      <c r="AR6">
        <f>SUMIFS(Table19[n],Table19[AIR2],"="&amp;AR$3,Table19[WY],"&gt;="&amp;$M6,Table19[WY],"&lt;="&amp;$L6)</f>
        <v>1</v>
      </c>
      <c r="AS6">
        <f>SUMIFS(Table19[n],Table19[AIR2],"="&amp;AS$3,Table19[WY],"&gt;="&amp;$M6,Table19[WY],"&lt;="&amp;$L6)</f>
        <v>1</v>
      </c>
      <c r="AT6">
        <f>SUMIFS(Table19[n],Table19[AIR2],"="&amp;AT$3,Table19[WY],"&gt;="&amp;$M6,Table19[WY],"&lt;="&amp;$L6)</f>
        <v>2</v>
      </c>
      <c r="AU6">
        <f>SUMIFS(Table19[n],Table19[AIR2],"="&amp;AU$3,Table19[WY],"&gt;="&amp;$M6,Table19[WY],"&lt;="&amp;$L6)</f>
        <v>1</v>
      </c>
      <c r="AV6">
        <f>SUMIFS(Table19[n],Table19[AIR2],"="&amp;AV$3,Table19[WY],"&gt;="&amp;$M6,Table19[WY],"&lt;="&amp;$L6)</f>
        <v>3</v>
      </c>
      <c r="AW6">
        <f>SUMIFS(Table19[n],Table19[AIR2],"="&amp;AW$3,Table19[WY],"&gt;="&amp;$M6,Table19[WY],"&lt;="&amp;$L6)</f>
        <v>0</v>
      </c>
      <c r="AX6">
        <f>SUMIFS(Table19[n],Table19[AIR2],"="&amp;AX$3,Table19[WY],"&gt;="&amp;$M6,Table19[WY],"&lt;="&amp;$L6)</f>
        <v>0</v>
      </c>
      <c r="AY6">
        <f>SUMIFS(Table19[n],Table19[AIR2],"="&amp;AY$3,Table19[WY],"&gt;="&amp;$M6,Table19[WY],"&lt;="&amp;$L6)</f>
        <v>0</v>
      </c>
      <c r="AZ6">
        <f>SUMIFS(Table19[n],Table19[AIR2],"="&amp;AZ$3,Table19[WY],"&gt;="&amp;$M6,Table19[WY],"&lt;="&amp;$L6)</f>
        <v>0</v>
      </c>
      <c r="BA6">
        <f>SUMIFS(Table19[n],Table19[AIR2],"="&amp;BA$3,Table19[WY],"&gt;="&amp;$M6,Table19[WY],"&lt;="&amp;$L6)</f>
        <v>0</v>
      </c>
      <c r="BB6">
        <f>SUMIFS(Table19[n],Table19[AIR2],"="&amp;BB$3,Table19[WY],"&gt;="&amp;$M6,Table19[WY],"&lt;="&amp;$L6)</f>
        <v>0</v>
      </c>
      <c r="BC6">
        <f>SUMIFS(Table19[n],Table19[AIR2],"="&amp;BC$3,Table19[WY],"&gt;="&amp;$M6,Table19[WY],"&lt;="&amp;$L6)</f>
        <v>0</v>
      </c>
      <c r="BD6">
        <f>SUMIFS(Table19[n],Table19[AIR2],"="&amp;BD$3,Table19[WY],"&gt;="&amp;$M6,Table19[WY],"&lt;="&amp;$L6)</f>
        <v>0</v>
      </c>
      <c r="BE6">
        <f>SUMIFS(Table19[n],Table19[AIR2],"="&amp;BE$3,Table19[WY],"&gt;="&amp;$M6,Table19[WY],"&lt;="&amp;$L6)</f>
        <v>0</v>
      </c>
      <c r="BF6">
        <f>SUMIFS(Table19[n],Table19[AIR2],"="&amp;BF$3,Table19[WY],"&gt;="&amp;$M6,Table19[WY],"&lt;="&amp;$L6)</f>
        <v>0</v>
      </c>
      <c r="BG6">
        <f>SUMIFS(Table19[n],Table19[AIR2],"="&amp;BG$3,Table19[WY],"&gt;="&amp;$M6,Table19[WY],"&lt;="&amp;$L6)</f>
        <v>0</v>
      </c>
    </row>
    <row r="7" spans="1:59">
      <c r="A7">
        <v>8</v>
      </c>
      <c r="B7">
        <v>202503</v>
      </c>
      <c r="C7">
        <v>53035983</v>
      </c>
      <c r="D7">
        <v>1</v>
      </c>
      <c r="E7">
        <v>0</v>
      </c>
      <c r="F7">
        <v>0</v>
      </c>
      <c r="G7">
        <v>0</v>
      </c>
      <c r="H7" t="s">
        <v>338</v>
      </c>
      <c r="I7">
        <v>1</v>
      </c>
      <c r="L7">
        <v>202515</v>
      </c>
      <c r="M7">
        <f t="shared" si="1"/>
        <v>202503</v>
      </c>
      <c r="N7">
        <f t="shared" si="2"/>
        <v>63</v>
      </c>
      <c r="O7">
        <f>SUMIFS(Table19[n],Table19[AIR2],"="&amp;O$3,Table19[WY],"&gt;="&amp;$M7,Table19[WY],"&lt;="&amp;$L7)</f>
        <v>0</v>
      </c>
      <c r="P7">
        <f>SUMIFS(Table19[n],Table19[AIR2],"="&amp;P$3,Table19[WY],"&gt;="&amp;$M7,Table19[WY],"&lt;="&amp;$L7)</f>
        <v>0</v>
      </c>
      <c r="Q7">
        <f>SUMIFS(Table19[n],Table19[AIR2],"="&amp;Q$3,Table19[WY],"&gt;="&amp;$M7,Table19[WY],"&lt;="&amp;$L7)</f>
        <v>2</v>
      </c>
      <c r="R7">
        <f>SUMIFS(Table19[n],Table19[AIR2],"="&amp;R$3,Table19[WY],"&gt;="&amp;$M7,Table19[WY],"&lt;="&amp;$L7)</f>
        <v>2</v>
      </c>
      <c r="S7">
        <f>SUMIFS(Table19[n],Table19[AIR2],"="&amp;S$3,Table19[WY],"&gt;="&amp;$M7,Table19[WY],"&lt;="&amp;$L7)</f>
        <v>12</v>
      </c>
      <c r="T7">
        <f>SUMIFS(Table19[n],Table19[AIR2],"="&amp;T$3,Table19[WY],"&gt;="&amp;$M7,Table19[WY],"&lt;="&amp;$L7)</f>
        <v>1</v>
      </c>
      <c r="U7">
        <f>SUMIFS(Table19[n],Table19[AIR2],"="&amp;U$3,Table19[WY],"&gt;="&amp;$M7,Table19[WY],"&lt;="&amp;$L7)</f>
        <v>1</v>
      </c>
      <c r="V7">
        <f>SUMIFS(Table19[n],Table19[AIR2],"="&amp;V$3,Table19[WY],"&gt;="&amp;$M7,Table19[WY],"&lt;="&amp;$L7)</f>
        <v>1</v>
      </c>
      <c r="W7">
        <f>SUMIFS(Table19[n],Table19[AIR2],"="&amp;W$3,Table19[WY],"&gt;="&amp;$M7,Table19[WY],"&lt;="&amp;$L7)</f>
        <v>2</v>
      </c>
      <c r="X7">
        <f>SUMIFS(Table19[n],Table19[AIR2],"="&amp;X$3,Table19[WY],"&gt;="&amp;$M7,Table19[WY],"&lt;="&amp;$L7)</f>
        <v>1</v>
      </c>
      <c r="Y7">
        <f>SUMIFS(Table19[n],Table19[AIR2],"="&amp;Y$3,Table19[WY],"&gt;="&amp;$M7,Table19[WY],"&lt;="&amp;$L7)</f>
        <v>3</v>
      </c>
      <c r="Z7">
        <f>SUMIFS(Table19[n],Table19[AIR2],"="&amp;Z$3,Table19[WY],"&gt;="&amp;$M7,Table19[WY],"&lt;="&amp;$L7)</f>
        <v>1</v>
      </c>
      <c r="AA7">
        <f>SUMIFS(Table19[n],Table19[AIR2],"="&amp;AA$3,Table19[WY],"&gt;="&amp;$M7,Table19[WY],"&lt;="&amp;$L7)</f>
        <v>1</v>
      </c>
      <c r="AB7">
        <f>SUMIFS(Table19[n],Table19[AIR2],"="&amp;AB$3,Table19[WY],"&gt;="&amp;$M7,Table19[WY],"&lt;="&amp;$L7)</f>
        <v>1</v>
      </c>
      <c r="AC7">
        <f>SUMIFS(Table19[n],Table19[AIR2],"="&amp;AC$3,Table19[WY],"&gt;="&amp;$M7,Table19[WY],"&lt;="&amp;$L7)</f>
        <v>1</v>
      </c>
      <c r="AD7">
        <f>SUMIFS(Table19[n],Table19[AIR2],"="&amp;AD$3,Table19[WY],"&gt;="&amp;$M7,Table19[WY],"&lt;="&amp;$L7)</f>
        <v>2</v>
      </c>
      <c r="AE7">
        <f>SUMIFS(Table19[n],Table19[AIR2],"="&amp;AE$3,Table19[WY],"&gt;="&amp;$M7,Table19[WY],"&lt;="&amp;$L7)</f>
        <v>1</v>
      </c>
      <c r="AF7">
        <f>SUMIFS(Table19[n],Table19[AIR2],"="&amp;AF$3,Table19[WY],"&gt;="&amp;$M7,Table19[WY],"&lt;="&amp;$L7)</f>
        <v>1</v>
      </c>
      <c r="AG7">
        <f>SUMIFS(Table19[n],Table19[AIR2],"="&amp;AG$3,Table19[WY],"&gt;="&amp;$M7,Table19[WY],"&lt;="&amp;$L7)</f>
        <v>1</v>
      </c>
      <c r="AH7">
        <f>SUMIFS(Table19[n],Table19[AIR2],"="&amp;AH$3,Table19[WY],"&gt;="&amp;$M7,Table19[WY],"&lt;="&amp;$L7)</f>
        <v>7</v>
      </c>
      <c r="AI7">
        <f>SUMIFS(Table19[n],Table19[AIR2],"="&amp;AI$3,Table19[WY],"&gt;="&amp;$M7,Table19[WY],"&lt;="&amp;$L7)</f>
        <v>2</v>
      </c>
      <c r="AJ7">
        <f>SUMIFS(Table19[n],Table19[AIR2],"="&amp;AJ$3,Table19[WY],"&gt;="&amp;$M7,Table19[WY],"&lt;="&amp;$L7)</f>
        <v>1</v>
      </c>
      <c r="AK7">
        <f>SUMIFS(Table19[n],Table19[AIR2],"="&amp;AK$3,Table19[WY],"&gt;="&amp;$M7,Table19[WY],"&lt;="&amp;$L7)</f>
        <v>1</v>
      </c>
      <c r="AL7">
        <f>SUMIFS(Table19[n],Table19[AIR2],"="&amp;AL$3,Table19[WY],"&gt;="&amp;$M7,Table19[WY],"&lt;="&amp;$L7)</f>
        <v>1</v>
      </c>
      <c r="AM7">
        <f>SUMIFS(Table19[n],Table19[AIR2],"="&amp;AM$3,Table19[WY],"&gt;="&amp;$M7,Table19[WY],"&lt;="&amp;$L7)</f>
        <v>1</v>
      </c>
      <c r="AN7">
        <f>SUMIFS(Table19[n],Table19[AIR2],"="&amp;AN$3,Table19[WY],"&gt;="&amp;$M7,Table19[WY],"&lt;="&amp;$L7)</f>
        <v>1</v>
      </c>
      <c r="AO7">
        <f>SUMIFS(Table19[n],Table19[AIR2],"="&amp;AO$3,Table19[WY],"&gt;="&amp;$M7,Table19[WY],"&lt;="&amp;$L7)</f>
        <v>1</v>
      </c>
      <c r="AP7">
        <f>SUMIFS(Table19[n],Table19[AIR2],"="&amp;AP$3,Table19[WY],"&gt;="&amp;$M7,Table19[WY],"&lt;="&amp;$L7)</f>
        <v>2</v>
      </c>
      <c r="AQ7">
        <f>SUMIFS(Table19[n],Table19[AIR2],"="&amp;AQ$3,Table19[WY],"&gt;="&amp;$M7,Table19[WY],"&lt;="&amp;$L7)</f>
        <v>1</v>
      </c>
      <c r="AR7">
        <f>SUMIFS(Table19[n],Table19[AIR2],"="&amp;AR$3,Table19[WY],"&gt;="&amp;$M7,Table19[WY],"&lt;="&amp;$L7)</f>
        <v>1</v>
      </c>
      <c r="AS7">
        <f>SUMIFS(Table19[n],Table19[AIR2],"="&amp;AS$3,Table19[WY],"&gt;="&amp;$M7,Table19[WY],"&lt;="&amp;$L7)</f>
        <v>1</v>
      </c>
      <c r="AT7">
        <f>SUMIFS(Table19[n],Table19[AIR2],"="&amp;AT$3,Table19[WY],"&gt;="&amp;$M7,Table19[WY],"&lt;="&amp;$L7)</f>
        <v>3</v>
      </c>
      <c r="AU7">
        <f>SUMIFS(Table19[n],Table19[AIR2],"="&amp;AU$3,Table19[WY],"&gt;="&amp;$M7,Table19[WY],"&lt;="&amp;$L7)</f>
        <v>1</v>
      </c>
      <c r="AV7">
        <f>SUMIFS(Table19[n],Table19[AIR2],"="&amp;AV$3,Table19[WY],"&gt;="&amp;$M7,Table19[WY],"&lt;="&amp;$L7)</f>
        <v>4</v>
      </c>
      <c r="AW7">
        <f>SUMIFS(Table19[n],Table19[AIR2],"="&amp;AW$3,Table19[WY],"&gt;="&amp;$M7,Table19[WY],"&lt;="&amp;$L7)</f>
        <v>1</v>
      </c>
      <c r="AX7">
        <f>SUMIFS(Table19[n],Table19[AIR2],"="&amp;AX$3,Table19[WY],"&gt;="&amp;$M7,Table19[WY],"&lt;="&amp;$L7)</f>
        <v>0</v>
      </c>
      <c r="AY7">
        <f>SUMIFS(Table19[n],Table19[AIR2],"="&amp;AY$3,Table19[WY],"&gt;="&amp;$M7,Table19[WY],"&lt;="&amp;$L7)</f>
        <v>0</v>
      </c>
      <c r="AZ7">
        <f>SUMIFS(Table19[n],Table19[AIR2],"="&amp;AZ$3,Table19[WY],"&gt;="&amp;$M7,Table19[WY],"&lt;="&amp;$L7)</f>
        <v>0</v>
      </c>
      <c r="BA7">
        <f>SUMIFS(Table19[n],Table19[AIR2],"="&amp;BA$3,Table19[WY],"&gt;="&amp;$M7,Table19[WY],"&lt;="&amp;$L7)</f>
        <v>0</v>
      </c>
      <c r="BB7">
        <f>SUMIFS(Table19[n],Table19[AIR2],"="&amp;BB$3,Table19[WY],"&gt;="&amp;$M7,Table19[WY],"&lt;="&amp;$L7)</f>
        <v>0</v>
      </c>
      <c r="BC7">
        <f>SUMIFS(Table19[n],Table19[AIR2],"="&amp;BC$3,Table19[WY],"&gt;="&amp;$M7,Table19[WY],"&lt;="&amp;$L7)</f>
        <v>0</v>
      </c>
      <c r="BD7">
        <f>SUMIFS(Table19[n],Table19[AIR2],"="&amp;BD$3,Table19[WY],"&gt;="&amp;$M7,Table19[WY],"&lt;="&amp;$L7)</f>
        <v>0</v>
      </c>
      <c r="BE7">
        <f>SUMIFS(Table19[n],Table19[AIR2],"="&amp;BE$3,Table19[WY],"&gt;="&amp;$M7,Table19[WY],"&lt;="&amp;$L7)</f>
        <v>0</v>
      </c>
      <c r="BF7">
        <f>SUMIFS(Table19[n],Table19[AIR2],"="&amp;BF$3,Table19[WY],"&gt;="&amp;$M7,Table19[WY],"&lt;="&amp;$L7)</f>
        <v>0</v>
      </c>
      <c r="BG7">
        <f>SUMIFS(Table19[n],Table19[AIR2],"="&amp;BG$3,Table19[WY],"&gt;="&amp;$M7,Table19[WY],"&lt;="&amp;$L7)</f>
        <v>0</v>
      </c>
    </row>
    <row r="8" spans="1:59">
      <c r="A8">
        <v>9</v>
      </c>
      <c r="B8">
        <v>202503</v>
      </c>
      <c r="C8" t="s">
        <v>271</v>
      </c>
      <c r="D8">
        <v>0</v>
      </c>
      <c r="E8">
        <v>1</v>
      </c>
      <c r="F8">
        <v>0</v>
      </c>
      <c r="G8">
        <v>0</v>
      </c>
      <c r="H8" t="s">
        <v>280</v>
      </c>
      <c r="I8">
        <v>1</v>
      </c>
      <c r="L8">
        <v>202516</v>
      </c>
      <c r="M8">
        <f t="shared" si="1"/>
        <v>202504</v>
      </c>
      <c r="N8">
        <f t="shared" si="2"/>
        <v>65</v>
      </c>
      <c r="O8">
        <f>SUMIFS(Table19[n],Table19[AIR2],"="&amp;O$3,Table19[WY],"&gt;="&amp;$M8,Table19[WY],"&lt;="&amp;$L8)</f>
        <v>0</v>
      </c>
      <c r="P8">
        <f>SUMIFS(Table19[n],Table19[AIR2],"="&amp;P$3,Table19[WY],"&gt;="&amp;$M8,Table19[WY],"&lt;="&amp;$L8)</f>
        <v>0</v>
      </c>
      <c r="Q8">
        <f>SUMIFS(Table19[n],Table19[AIR2],"="&amp;Q$3,Table19[WY],"&gt;="&amp;$M8,Table19[WY],"&lt;="&amp;$L8)</f>
        <v>2</v>
      </c>
      <c r="R8">
        <f>SUMIFS(Table19[n],Table19[AIR2],"="&amp;R$3,Table19[WY],"&gt;="&amp;$M8,Table19[WY],"&lt;="&amp;$L8)</f>
        <v>2</v>
      </c>
      <c r="S8">
        <f>SUMIFS(Table19[n],Table19[AIR2],"="&amp;S$3,Table19[WY],"&gt;="&amp;$M8,Table19[WY],"&lt;="&amp;$L8)</f>
        <v>11</v>
      </c>
      <c r="T8">
        <f>SUMIFS(Table19[n],Table19[AIR2],"="&amp;T$3,Table19[WY],"&gt;="&amp;$M8,Table19[WY],"&lt;="&amp;$L8)</f>
        <v>1</v>
      </c>
      <c r="U8">
        <f>SUMIFS(Table19[n],Table19[AIR2],"="&amp;U$3,Table19[WY],"&gt;="&amp;$M8,Table19[WY],"&lt;="&amp;$L8)</f>
        <v>1</v>
      </c>
      <c r="V8">
        <f>SUMIFS(Table19[n],Table19[AIR2],"="&amp;V$3,Table19[WY],"&gt;="&amp;$M8,Table19[WY],"&lt;="&amp;$L8)</f>
        <v>1</v>
      </c>
      <c r="W8">
        <f>SUMIFS(Table19[n],Table19[AIR2],"="&amp;W$3,Table19[WY],"&gt;="&amp;$M8,Table19[WY],"&lt;="&amp;$L8)</f>
        <v>2</v>
      </c>
      <c r="X8">
        <f>SUMIFS(Table19[n],Table19[AIR2],"="&amp;X$3,Table19[WY],"&gt;="&amp;$M8,Table19[WY],"&lt;="&amp;$L8)</f>
        <v>1</v>
      </c>
      <c r="Y8">
        <f>SUMIFS(Table19[n],Table19[AIR2],"="&amp;Y$3,Table19[WY],"&gt;="&amp;$M8,Table19[WY],"&lt;="&amp;$L8)</f>
        <v>4</v>
      </c>
      <c r="Z8">
        <f>SUMIFS(Table19[n],Table19[AIR2],"="&amp;Z$3,Table19[WY],"&gt;="&amp;$M8,Table19[WY],"&lt;="&amp;$L8)</f>
        <v>1</v>
      </c>
      <c r="AA8">
        <f>SUMIFS(Table19[n],Table19[AIR2],"="&amp;AA$3,Table19[WY],"&gt;="&amp;$M8,Table19[WY],"&lt;="&amp;$L8)</f>
        <v>1</v>
      </c>
      <c r="AB8">
        <f>SUMIFS(Table19[n],Table19[AIR2],"="&amp;AB$3,Table19[WY],"&gt;="&amp;$M8,Table19[WY],"&lt;="&amp;$L8)</f>
        <v>1</v>
      </c>
      <c r="AC8">
        <f>SUMIFS(Table19[n],Table19[AIR2],"="&amp;AC$3,Table19[WY],"&gt;="&amp;$M8,Table19[WY],"&lt;="&amp;$L8)</f>
        <v>1</v>
      </c>
      <c r="AD8">
        <f>SUMIFS(Table19[n],Table19[AIR2],"="&amp;AD$3,Table19[WY],"&gt;="&amp;$M8,Table19[WY],"&lt;="&amp;$L8)</f>
        <v>2</v>
      </c>
      <c r="AE8">
        <f>SUMIFS(Table19[n],Table19[AIR2],"="&amp;AE$3,Table19[WY],"&gt;="&amp;$M8,Table19[WY],"&lt;="&amp;$L8)</f>
        <v>1</v>
      </c>
      <c r="AF8">
        <f>SUMIFS(Table19[n],Table19[AIR2],"="&amp;AF$3,Table19[WY],"&gt;="&amp;$M8,Table19[WY],"&lt;="&amp;$L8)</f>
        <v>1</v>
      </c>
      <c r="AG8">
        <f>SUMIFS(Table19[n],Table19[AIR2],"="&amp;AG$3,Table19[WY],"&gt;="&amp;$M8,Table19[WY],"&lt;="&amp;$L8)</f>
        <v>1</v>
      </c>
      <c r="AH8">
        <f>SUMIFS(Table19[n],Table19[AIR2],"="&amp;AH$3,Table19[WY],"&gt;="&amp;$M8,Table19[WY],"&lt;="&amp;$L8)</f>
        <v>7</v>
      </c>
      <c r="AI8">
        <f>SUMIFS(Table19[n],Table19[AIR2],"="&amp;AI$3,Table19[WY],"&gt;="&amp;$M8,Table19[WY],"&lt;="&amp;$L8)</f>
        <v>2</v>
      </c>
      <c r="AJ8">
        <f>SUMIFS(Table19[n],Table19[AIR2],"="&amp;AJ$3,Table19[WY],"&gt;="&amp;$M8,Table19[WY],"&lt;="&amp;$L8)</f>
        <v>1</v>
      </c>
      <c r="AK8">
        <f>SUMIFS(Table19[n],Table19[AIR2],"="&amp;AK$3,Table19[WY],"&gt;="&amp;$M8,Table19[WY],"&lt;="&amp;$L8)</f>
        <v>1</v>
      </c>
      <c r="AL8">
        <f>SUMIFS(Table19[n],Table19[AIR2],"="&amp;AL$3,Table19[WY],"&gt;="&amp;$M8,Table19[WY],"&lt;="&amp;$L8)</f>
        <v>1</v>
      </c>
      <c r="AM8">
        <f>SUMIFS(Table19[n],Table19[AIR2],"="&amp;AM$3,Table19[WY],"&gt;="&amp;$M8,Table19[WY],"&lt;="&amp;$L8)</f>
        <v>1</v>
      </c>
      <c r="AN8">
        <f>SUMIFS(Table19[n],Table19[AIR2],"="&amp;AN$3,Table19[WY],"&gt;="&amp;$M8,Table19[WY],"&lt;="&amp;$L8)</f>
        <v>1</v>
      </c>
      <c r="AO8">
        <f>SUMIFS(Table19[n],Table19[AIR2],"="&amp;AO$3,Table19[WY],"&gt;="&amp;$M8,Table19[WY],"&lt;="&amp;$L8)</f>
        <v>1</v>
      </c>
      <c r="AP8">
        <f>SUMIFS(Table19[n],Table19[AIR2],"="&amp;AP$3,Table19[WY],"&gt;="&amp;$M8,Table19[WY],"&lt;="&amp;$L8)</f>
        <v>2</v>
      </c>
      <c r="AQ8">
        <f>SUMIFS(Table19[n],Table19[AIR2],"="&amp;AQ$3,Table19[WY],"&gt;="&amp;$M8,Table19[WY],"&lt;="&amp;$L8)</f>
        <v>1</v>
      </c>
      <c r="AR8">
        <f>SUMIFS(Table19[n],Table19[AIR2],"="&amp;AR$3,Table19[WY],"&gt;="&amp;$M8,Table19[WY],"&lt;="&amp;$L8)</f>
        <v>1</v>
      </c>
      <c r="AS8">
        <f>SUMIFS(Table19[n],Table19[AIR2],"="&amp;AS$3,Table19[WY],"&gt;="&amp;$M8,Table19[WY],"&lt;="&amp;$L8)</f>
        <v>1</v>
      </c>
      <c r="AT8">
        <f>SUMIFS(Table19[n],Table19[AIR2],"="&amp;AT$3,Table19[WY],"&gt;="&amp;$M8,Table19[WY],"&lt;="&amp;$L8)</f>
        <v>3</v>
      </c>
      <c r="AU8">
        <f>SUMIFS(Table19[n],Table19[AIR2],"="&amp;AU$3,Table19[WY],"&gt;="&amp;$M8,Table19[WY],"&lt;="&amp;$L8)</f>
        <v>1</v>
      </c>
      <c r="AV8">
        <f>SUMIFS(Table19[n],Table19[AIR2],"="&amp;AV$3,Table19[WY],"&gt;="&amp;$M8,Table19[WY],"&lt;="&amp;$L8)</f>
        <v>4</v>
      </c>
      <c r="AW8">
        <f>SUMIFS(Table19[n],Table19[AIR2],"="&amp;AW$3,Table19[WY],"&gt;="&amp;$M8,Table19[WY],"&lt;="&amp;$L8)</f>
        <v>1</v>
      </c>
      <c r="AX8">
        <f>SUMIFS(Table19[n],Table19[AIR2],"="&amp;AX$3,Table19[WY],"&gt;="&amp;$M8,Table19[WY],"&lt;="&amp;$L8)</f>
        <v>1</v>
      </c>
      <c r="AY8">
        <f>SUMIFS(Table19[n],Table19[AIR2],"="&amp;AY$3,Table19[WY],"&gt;="&amp;$M8,Table19[WY],"&lt;="&amp;$L8)</f>
        <v>1</v>
      </c>
      <c r="AZ8">
        <f>SUMIFS(Table19[n],Table19[AIR2],"="&amp;AZ$3,Table19[WY],"&gt;="&amp;$M8,Table19[WY],"&lt;="&amp;$L8)</f>
        <v>0</v>
      </c>
      <c r="BA8">
        <f>SUMIFS(Table19[n],Table19[AIR2],"="&amp;BA$3,Table19[WY],"&gt;="&amp;$M8,Table19[WY],"&lt;="&amp;$L8)</f>
        <v>0</v>
      </c>
      <c r="BB8">
        <f>SUMIFS(Table19[n],Table19[AIR2],"="&amp;BB$3,Table19[WY],"&gt;="&amp;$M8,Table19[WY],"&lt;="&amp;$L8)</f>
        <v>0</v>
      </c>
      <c r="BC8">
        <f>SUMIFS(Table19[n],Table19[AIR2],"="&amp;BC$3,Table19[WY],"&gt;="&amp;$M8,Table19[WY],"&lt;="&amp;$L8)</f>
        <v>0</v>
      </c>
      <c r="BD8">
        <f>SUMIFS(Table19[n],Table19[AIR2],"="&amp;BD$3,Table19[WY],"&gt;="&amp;$M8,Table19[WY],"&lt;="&amp;$L8)</f>
        <v>0</v>
      </c>
      <c r="BE8">
        <f>SUMIFS(Table19[n],Table19[AIR2],"="&amp;BE$3,Table19[WY],"&gt;="&amp;$M8,Table19[WY],"&lt;="&amp;$L8)</f>
        <v>0</v>
      </c>
      <c r="BF8">
        <f>SUMIFS(Table19[n],Table19[AIR2],"="&amp;BF$3,Table19[WY],"&gt;="&amp;$M8,Table19[WY],"&lt;="&amp;$L8)</f>
        <v>0</v>
      </c>
      <c r="BG8">
        <f>SUMIFS(Table19[n],Table19[AIR2],"="&amp;BG$3,Table19[WY],"&gt;="&amp;$M8,Table19[WY],"&lt;="&amp;$L8)</f>
        <v>0</v>
      </c>
    </row>
    <row r="9" spans="1:59">
      <c r="A9">
        <v>10</v>
      </c>
      <c r="B9">
        <v>202504</v>
      </c>
      <c r="C9">
        <v>53035983</v>
      </c>
      <c r="D9">
        <v>1</v>
      </c>
      <c r="E9">
        <v>0</v>
      </c>
      <c r="F9">
        <v>0</v>
      </c>
      <c r="G9">
        <v>0</v>
      </c>
      <c r="H9" t="s">
        <v>338</v>
      </c>
      <c r="I9">
        <v>1</v>
      </c>
      <c r="L9">
        <v>202517</v>
      </c>
      <c r="M9">
        <f t="shared" si="1"/>
        <v>202505</v>
      </c>
      <c r="N9">
        <f t="shared" si="2"/>
        <v>58</v>
      </c>
      <c r="O9">
        <f>SUMIFS(Table19[n],Table19[AIR2],"="&amp;O$3,Table19[WY],"&gt;="&amp;$M9,Table19[WY],"&lt;="&amp;$L9)</f>
        <v>0</v>
      </c>
      <c r="P9">
        <f>SUMIFS(Table19[n],Table19[AIR2],"="&amp;P$3,Table19[WY],"&gt;="&amp;$M9,Table19[WY],"&lt;="&amp;$L9)</f>
        <v>0</v>
      </c>
      <c r="Q9">
        <f>SUMIFS(Table19[n],Table19[AIR2],"="&amp;Q$3,Table19[WY],"&gt;="&amp;$M9,Table19[WY],"&lt;="&amp;$L9)</f>
        <v>2</v>
      </c>
      <c r="R9">
        <f>SUMIFS(Table19[n],Table19[AIR2],"="&amp;R$3,Table19[WY],"&gt;="&amp;$M9,Table19[WY],"&lt;="&amp;$L9)</f>
        <v>0</v>
      </c>
      <c r="S9">
        <f>SUMIFS(Table19[n],Table19[AIR2],"="&amp;S$3,Table19[WY],"&gt;="&amp;$M9,Table19[WY],"&lt;="&amp;$L9)</f>
        <v>7</v>
      </c>
      <c r="T9">
        <f>SUMIFS(Table19[n],Table19[AIR2],"="&amp;T$3,Table19[WY],"&gt;="&amp;$M9,Table19[WY],"&lt;="&amp;$L9)</f>
        <v>0</v>
      </c>
      <c r="U9">
        <f>SUMIFS(Table19[n],Table19[AIR2],"="&amp;U$3,Table19[WY],"&gt;="&amp;$M9,Table19[WY],"&lt;="&amp;$L9)</f>
        <v>0</v>
      </c>
      <c r="V9">
        <f>SUMIFS(Table19[n],Table19[AIR2],"="&amp;V$3,Table19[WY],"&gt;="&amp;$M9,Table19[WY],"&lt;="&amp;$L9)</f>
        <v>0</v>
      </c>
      <c r="W9">
        <f>SUMIFS(Table19[n],Table19[AIR2],"="&amp;W$3,Table19[WY],"&gt;="&amp;$M9,Table19[WY],"&lt;="&amp;$L9)</f>
        <v>1</v>
      </c>
      <c r="X9">
        <f>SUMIFS(Table19[n],Table19[AIR2],"="&amp;X$3,Table19[WY],"&gt;="&amp;$M9,Table19[WY],"&lt;="&amp;$L9)</f>
        <v>1</v>
      </c>
      <c r="Y9">
        <f>SUMIFS(Table19[n],Table19[AIR2],"="&amp;Y$3,Table19[WY],"&gt;="&amp;$M9,Table19[WY],"&lt;="&amp;$L9)</f>
        <v>5</v>
      </c>
      <c r="Z9">
        <f>SUMIFS(Table19[n],Table19[AIR2],"="&amp;Z$3,Table19[WY],"&gt;="&amp;$M9,Table19[WY],"&lt;="&amp;$L9)</f>
        <v>1</v>
      </c>
      <c r="AA9">
        <f>SUMIFS(Table19[n],Table19[AIR2],"="&amp;AA$3,Table19[WY],"&gt;="&amp;$M9,Table19[WY],"&lt;="&amp;$L9)</f>
        <v>1</v>
      </c>
      <c r="AB9">
        <f>SUMIFS(Table19[n],Table19[AIR2],"="&amp;AB$3,Table19[WY],"&gt;="&amp;$M9,Table19[WY],"&lt;="&amp;$L9)</f>
        <v>1</v>
      </c>
      <c r="AC9">
        <f>SUMIFS(Table19[n],Table19[AIR2],"="&amp;AC$3,Table19[WY],"&gt;="&amp;$M9,Table19[WY],"&lt;="&amp;$L9)</f>
        <v>1</v>
      </c>
      <c r="AD9">
        <f>SUMIFS(Table19[n],Table19[AIR2],"="&amp;AD$3,Table19[WY],"&gt;="&amp;$M9,Table19[WY],"&lt;="&amp;$L9)</f>
        <v>2</v>
      </c>
      <c r="AE9">
        <f>SUMIFS(Table19[n],Table19[AIR2],"="&amp;AE$3,Table19[WY],"&gt;="&amp;$M9,Table19[WY],"&lt;="&amp;$L9)</f>
        <v>1</v>
      </c>
      <c r="AF9">
        <f>SUMIFS(Table19[n],Table19[AIR2],"="&amp;AF$3,Table19[WY],"&gt;="&amp;$M9,Table19[WY],"&lt;="&amp;$L9)</f>
        <v>1</v>
      </c>
      <c r="AG9">
        <f>SUMIFS(Table19[n],Table19[AIR2],"="&amp;AG$3,Table19[WY],"&gt;="&amp;$M9,Table19[WY],"&lt;="&amp;$L9)</f>
        <v>1</v>
      </c>
      <c r="AH9">
        <f>SUMIFS(Table19[n],Table19[AIR2],"="&amp;AH$3,Table19[WY],"&gt;="&amp;$M9,Table19[WY],"&lt;="&amp;$L9)</f>
        <v>8</v>
      </c>
      <c r="AI9">
        <f>SUMIFS(Table19[n],Table19[AIR2],"="&amp;AI$3,Table19[WY],"&gt;="&amp;$M9,Table19[WY],"&lt;="&amp;$L9)</f>
        <v>2</v>
      </c>
      <c r="AJ9">
        <f>SUMIFS(Table19[n],Table19[AIR2],"="&amp;AJ$3,Table19[WY],"&gt;="&amp;$M9,Table19[WY],"&lt;="&amp;$L9)</f>
        <v>1</v>
      </c>
      <c r="AK9">
        <f>SUMIFS(Table19[n],Table19[AIR2],"="&amp;AK$3,Table19[WY],"&gt;="&amp;$M9,Table19[WY],"&lt;="&amp;$L9)</f>
        <v>1</v>
      </c>
      <c r="AL9">
        <f>SUMIFS(Table19[n],Table19[AIR2],"="&amp;AL$3,Table19[WY],"&gt;="&amp;$M9,Table19[WY],"&lt;="&amp;$L9)</f>
        <v>1</v>
      </c>
      <c r="AM9">
        <f>SUMIFS(Table19[n],Table19[AIR2],"="&amp;AM$3,Table19[WY],"&gt;="&amp;$M9,Table19[WY],"&lt;="&amp;$L9)</f>
        <v>1</v>
      </c>
      <c r="AN9">
        <f>SUMIFS(Table19[n],Table19[AIR2],"="&amp;AN$3,Table19[WY],"&gt;="&amp;$M9,Table19[WY],"&lt;="&amp;$L9)</f>
        <v>1</v>
      </c>
      <c r="AO9">
        <f>SUMIFS(Table19[n],Table19[AIR2],"="&amp;AO$3,Table19[WY],"&gt;="&amp;$M9,Table19[WY],"&lt;="&amp;$L9)</f>
        <v>1</v>
      </c>
      <c r="AP9">
        <f>SUMIFS(Table19[n],Table19[AIR2],"="&amp;AP$3,Table19[WY],"&gt;="&amp;$M9,Table19[WY],"&lt;="&amp;$L9)</f>
        <v>2</v>
      </c>
      <c r="AQ9">
        <f>SUMIFS(Table19[n],Table19[AIR2],"="&amp;AQ$3,Table19[WY],"&gt;="&amp;$M9,Table19[WY],"&lt;="&amp;$L9)</f>
        <v>1</v>
      </c>
      <c r="AR9">
        <f>SUMIFS(Table19[n],Table19[AIR2],"="&amp;AR$3,Table19[WY],"&gt;="&amp;$M9,Table19[WY],"&lt;="&amp;$L9)</f>
        <v>1</v>
      </c>
      <c r="AS9">
        <f>SUMIFS(Table19[n],Table19[AIR2],"="&amp;AS$3,Table19[WY],"&gt;="&amp;$M9,Table19[WY],"&lt;="&amp;$L9)</f>
        <v>1</v>
      </c>
      <c r="AT9">
        <f>SUMIFS(Table19[n],Table19[AIR2],"="&amp;AT$3,Table19[WY],"&gt;="&amp;$M9,Table19[WY],"&lt;="&amp;$L9)</f>
        <v>3</v>
      </c>
      <c r="AU9">
        <f>SUMIFS(Table19[n],Table19[AIR2],"="&amp;AU$3,Table19[WY],"&gt;="&amp;$M9,Table19[WY],"&lt;="&amp;$L9)</f>
        <v>1</v>
      </c>
      <c r="AV9">
        <f>SUMIFS(Table19[n],Table19[AIR2],"="&amp;AV$3,Table19[WY],"&gt;="&amp;$M9,Table19[WY],"&lt;="&amp;$L9)</f>
        <v>4</v>
      </c>
      <c r="AW9">
        <f>SUMIFS(Table19[n],Table19[AIR2],"="&amp;AW$3,Table19[WY],"&gt;="&amp;$M9,Table19[WY],"&lt;="&amp;$L9)</f>
        <v>1</v>
      </c>
      <c r="AX9">
        <f>SUMIFS(Table19[n],Table19[AIR2],"="&amp;AX$3,Table19[WY],"&gt;="&amp;$M9,Table19[WY],"&lt;="&amp;$L9)</f>
        <v>1</v>
      </c>
      <c r="AY9">
        <f>SUMIFS(Table19[n],Table19[AIR2],"="&amp;AY$3,Table19[WY],"&gt;="&amp;$M9,Table19[WY],"&lt;="&amp;$L9)</f>
        <v>1</v>
      </c>
      <c r="AZ9">
        <f>SUMIFS(Table19[n],Table19[AIR2],"="&amp;AZ$3,Table19[WY],"&gt;="&amp;$M9,Table19[WY],"&lt;="&amp;$L9)</f>
        <v>1</v>
      </c>
      <c r="BA9">
        <f>SUMIFS(Table19[n],Table19[AIR2],"="&amp;BA$3,Table19[WY],"&gt;="&amp;$M9,Table19[WY],"&lt;="&amp;$L9)</f>
        <v>0</v>
      </c>
      <c r="BB9">
        <f>SUMIFS(Table19[n],Table19[AIR2],"="&amp;BB$3,Table19[WY],"&gt;="&amp;$M9,Table19[WY],"&lt;="&amp;$L9)</f>
        <v>0</v>
      </c>
      <c r="BC9">
        <f>SUMIFS(Table19[n],Table19[AIR2],"="&amp;BC$3,Table19[WY],"&gt;="&amp;$M9,Table19[WY],"&lt;="&amp;$L9)</f>
        <v>0</v>
      </c>
      <c r="BD9">
        <f>SUMIFS(Table19[n],Table19[AIR2],"="&amp;BD$3,Table19[WY],"&gt;="&amp;$M9,Table19[WY],"&lt;="&amp;$L9)</f>
        <v>0</v>
      </c>
      <c r="BE9">
        <f>SUMIFS(Table19[n],Table19[AIR2],"="&amp;BE$3,Table19[WY],"&gt;="&amp;$M9,Table19[WY],"&lt;="&amp;$L9)</f>
        <v>0</v>
      </c>
      <c r="BF9">
        <f>SUMIFS(Table19[n],Table19[AIR2],"="&amp;BF$3,Table19[WY],"&gt;="&amp;$M9,Table19[WY],"&lt;="&amp;$L9)</f>
        <v>0</v>
      </c>
      <c r="BG9">
        <f>SUMIFS(Table19[n],Table19[AIR2],"="&amp;BG$3,Table19[WY],"&gt;="&amp;$M9,Table19[WY],"&lt;="&amp;$L9)</f>
        <v>0</v>
      </c>
    </row>
    <row r="10" spans="1:59">
      <c r="A10">
        <v>11</v>
      </c>
      <c r="B10">
        <v>202504</v>
      </c>
      <c r="C10" t="s">
        <v>301</v>
      </c>
      <c r="D10">
        <v>0</v>
      </c>
      <c r="E10">
        <v>2</v>
      </c>
      <c r="F10">
        <v>0</v>
      </c>
      <c r="G10">
        <v>0</v>
      </c>
      <c r="H10" t="s">
        <v>171</v>
      </c>
      <c r="I10">
        <v>2</v>
      </c>
      <c r="L10">
        <v>202518</v>
      </c>
      <c r="M10">
        <f t="shared" si="1"/>
        <v>202506</v>
      </c>
      <c r="N10">
        <f t="shared" si="2"/>
        <v>54</v>
      </c>
      <c r="O10">
        <f>SUMIFS(Table19[n],Table19[AIR2],"="&amp;O$3,Table19[WY],"&gt;="&amp;$M10,Table19[WY],"&lt;="&amp;$L10)</f>
        <v>0</v>
      </c>
      <c r="P10">
        <f>SUMIFS(Table19[n],Table19[AIR2],"="&amp;P$3,Table19[WY],"&gt;="&amp;$M10,Table19[WY],"&lt;="&amp;$L10)</f>
        <v>0</v>
      </c>
      <c r="Q10">
        <f>SUMIFS(Table19[n],Table19[AIR2],"="&amp;Q$3,Table19[WY],"&gt;="&amp;$M10,Table19[WY],"&lt;="&amp;$L10)</f>
        <v>2</v>
      </c>
      <c r="R10">
        <f>SUMIFS(Table19[n],Table19[AIR2],"="&amp;R$3,Table19[WY],"&gt;="&amp;$M10,Table19[WY],"&lt;="&amp;$L10)</f>
        <v>0</v>
      </c>
      <c r="S10">
        <f>SUMIFS(Table19[n],Table19[AIR2],"="&amp;S$3,Table19[WY],"&gt;="&amp;$M10,Table19[WY],"&lt;="&amp;$L10)</f>
        <v>7</v>
      </c>
      <c r="T10">
        <f>SUMIFS(Table19[n],Table19[AIR2],"="&amp;T$3,Table19[WY],"&gt;="&amp;$M10,Table19[WY],"&lt;="&amp;$L10)</f>
        <v>0</v>
      </c>
      <c r="U10">
        <f>SUMIFS(Table19[n],Table19[AIR2],"="&amp;U$3,Table19[WY],"&gt;="&amp;$M10,Table19[WY],"&lt;="&amp;$L10)</f>
        <v>0</v>
      </c>
      <c r="V10">
        <f>SUMIFS(Table19[n],Table19[AIR2],"="&amp;V$3,Table19[WY],"&gt;="&amp;$M10,Table19[WY],"&lt;="&amp;$L10)</f>
        <v>0</v>
      </c>
      <c r="W10">
        <f>SUMIFS(Table19[n],Table19[AIR2],"="&amp;W$3,Table19[WY],"&gt;="&amp;$M10,Table19[WY],"&lt;="&amp;$L10)</f>
        <v>0</v>
      </c>
      <c r="X10">
        <f>SUMIFS(Table19[n],Table19[AIR2],"="&amp;X$3,Table19[WY],"&gt;="&amp;$M10,Table19[WY],"&lt;="&amp;$L10)</f>
        <v>0</v>
      </c>
      <c r="Y10">
        <f>SUMIFS(Table19[n],Table19[AIR2],"="&amp;Y$3,Table19[WY],"&gt;="&amp;$M10,Table19[WY],"&lt;="&amp;$L10)</f>
        <v>6</v>
      </c>
      <c r="Z10">
        <f>SUMIFS(Table19[n],Table19[AIR2],"="&amp;Z$3,Table19[WY],"&gt;="&amp;$M10,Table19[WY],"&lt;="&amp;$L10)</f>
        <v>0</v>
      </c>
      <c r="AA10">
        <f>SUMIFS(Table19[n],Table19[AIR2],"="&amp;AA$3,Table19[WY],"&gt;="&amp;$M10,Table19[WY],"&lt;="&amp;$L10)</f>
        <v>0</v>
      </c>
      <c r="AB10">
        <f>SUMIFS(Table19[n],Table19[AIR2],"="&amp;AB$3,Table19[WY],"&gt;="&amp;$M10,Table19[WY],"&lt;="&amp;$L10)</f>
        <v>0</v>
      </c>
      <c r="AC10">
        <f>SUMIFS(Table19[n],Table19[AIR2],"="&amp;AC$3,Table19[WY],"&gt;="&amp;$M10,Table19[WY],"&lt;="&amp;$L10)</f>
        <v>0</v>
      </c>
      <c r="AD10">
        <f>SUMIFS(Table19[n],Table19[AIR2],"="&amp;AD$3,Table19[WY],"&gt;="&amp;$M10,Table19[WY],"&lt;="&amp;$L10)</f>
        <v>2</v>
      </c>
      <c r="AE10">
        <f>SUMIFS(Table19[n],Table19[AIR2],"="&amp;AE$3,Table19[WY],"&gt;="&amp;$M10,Table19[WY],"&lt;="&amp;$L10)</f>
        <v>1</v>
      </c>
      <c r="AF10">
        <f>SUMIFS(Table19[n],Table19[AIR2],"="&amp;AF$3,Table19[WY],"&gt;="&amp;$M10,Table19[WY],"&lt;="&amp;$L10)</f>
        <v>1</v>
      </c>
      <c r="AG10">
        <f>SUMIFS(Table19[n],Table19[AIR2],"="&amp;AG$3,Table19[WY],"&gt;="&amp;$M10,Table19[WY],"&lt;="&amp;$L10)</f>
        <v>1</v>
      </c>
      <c r="AH10">
        <f>SUMIFS(Table19[n],Table19[AIR2],"="&amp;AH$3,Table19[WY],"&gt;="&amp;$M10,Table19[WY],"&lt;="&amp;$L10)</f>
        <v>8</v>
      </c>
      <c r="AI10">
        <f>SUMIFS(Table19[n],Table19[AIR2],"="&amp;AI$3,Table19[WY],"&gt;="&amp;$M10,Table19[WY],"&lt;="&amp;$L10)</f>
        <v>2</v>
      </c>
      <c r="AJ10">
        <f>SUMIFS(Table19[n],Table19[AIR2],"="&amp;AJ$3,Table19[WY],"&gt;="&amp;$M10,Table19[WY],"&lt;="&amp;$L10)</f>
        <v>1</v>
      </c>
      <c r="AK10">
        <f>SUMIFS(Table19[n],Table19[AIR2],"="&amp;AK$3,Table19[WY],"&gt;="&amp;$M10,Table19[WY],"&lt;="&amp;$L10)</f>
        <v>1</v>
      </c>
      <c r="AL10">
        <f>SUMIFS(Table19[n],Table19[AIR2],"="&amp;AL$3,Table19[WY],"&gt;="&amp;$M10,Table19[WY],"&lt;="&amp;$L10)</f>
        <v>1</v>
      </c>
      <c r="AM10">
        <f>SUMIFS(Table19[n],Table19[AIR2],"="&amp;AM$3,Table19[WY],"&gt;="&amp;$M10,Table19[WY],"&lt;="&amp;$L10)</f>
        <v>1</v>
      </c>
      <c r="AN10">
        <f>SUMIFS(Table19[n],Table19[AIR2],"="&amp;AN$3,Table19[WY],"&gt;="&amp;$M10,Table19[WY],"&lt;="&amp;$L10)</f>
        <v>1</v>
      </c>
      <c r="AO10">
        <f>SUMIFS(Table19[n],Table19[AIR2],"="&amp;AO$3,Table19[WY],"&gt;="&amp;$M10,Table19[WY],"&lt;="&amp;$L10)</f>
        <v>1</v>
      </c>
      <c r="AP10">
        <f>SUMIFS(Table19[n],Table19[AIR2],"="&amp;AP$3,Table19[WY],"&gt;="&amp;$M10,Table19[WY],"&lt;="&amp;$L10)</f>
        <v>2</v>
      </c>
      <c r="AQ10">
        <f>SUMIFS(Table19[n],Table19[AIR2],"="&amp;AQ$3,Table19[WY],"&gt;="&amp;$M10,Table19[WY],"&lt;="&amp;$L10)</f>
        <v>1</v>
      </c>
      <c r="AR10">
        <f>SUMIFS(Table19[n],Table19[AIR2],"="&amp;AR$3,Table19[WY],"&gt;="&amp;$M10,Table19[WY],"&lt;="&amp;$L10)</f>
        <v>1</v>
      </c>
      <c r="AS10">
        <f>SUMIFS(Table19[n],Table19[AIR2],"="&amp;AS$3,Table19[WY],"&gt;="&amp;$M10,Table19[WY],"&lt;="&amp;$L10)</f>
        <v>1</v>
      </c>
      <c r="AT10">
        <f>SUMIFS(Table19[n],Table19[AIR2],"="&amp;AT$3,Table19[WY],"&gt;="&amp;$M10,Table19[WY],"&lt;="&amp;$L10)</f>
        <v>3</v>
      </c>
      <c r="AU10">
        <f>SUMIFS(Table19[n],Table19[AIR2],"="&amp;AU$3,Table19[WY],"&gt;="&amp;$M10,Table19[WY],"&lt;="&amp;$L10)</f>
        <v>1</v>
      </c>
      <c r="AV10">
        <f>SUMIFS(Table19[n],Table19[AIR2],"="&amp;AV$3,Table19[WY],"&gt;="&amp;$M10,Table19[WY],"&lt;="&amp;$L10)</f>
        <v>4</v>
      </c>
      <c r="AW10">
        <f>SUMIFS(Table19[n],Table19[AIR2],"="&amp;AW$3,Table19[WY],"&gt;="&amp;$M10,Table19[WY],"&lt;="&amp;$L10)</f>
        <v>1</v>
      </c>
      <c r="AX10">
        <f>SUMIFS(Table19[n],Table19[AIR2],"="&amp;AX$3,Table19[WY],"&gt;="&amp;$M10,Table19[WY],"&lt;="&amp;$L10)</f>
        <v>1</v>
      </c>
      <c r="AY10">
        <f>SUMIFS(Table19[n],Table19[AIR2],"="&amp;AY$3,Table19[WY],"&gt;="&amp;$M10,Table19[WY],"&lt;="&amp;$L10)</f>
        <v>1</v>
      </c>
      <c r="AZ10">
        <f>SUMIFS(Table19[n],Table19[AIR2],"="&amp;AZ$3,Table19[WY],"&gt;="&amp;$M10,Table19[WY],"&lt;="&amp;$L10)</f>
        <v>1</v>
      </c>
      <c r="BA10">
        <f>SUMIFS(Table19[n],Table19[AIR2],"="&amp;BA$3,Table19[WY],"&gt;="&amp;$M10,Table19[WY],"&lt;="&amp;$L10)</f>
        <v>1</v>
      </c>
      <c r="BB10">
        <f>SUMIFS(Table19[n],Table19[AIR2],"="&amp;BB$3,Table19[WY],"&gt;="&amp;$M10,Table19[WY],"&lt;="&amp;$L10)</f>
        <v>0</v>
      </c>
      <c r="BC10">
        <f>SUMIFS(Table19[n],Table19[AIR2],"="&amp;BC$3,Table19[WY],"&gt;="&amp;$M10,Table19[WY],"&lt;="&amp;$L10)</f>
        <v>0</v>
      </c>
      <c r="BD10">
        <f>SUMIFS(Table19[n],Table19[AIR2],"="&amp;BD$3,Table19[WY],"&gt;="&amp;$M10,Table19[WY],"&lt;="&amp;$L10)</f>
        <v>0</v>
      </c>
      <c r="BE10">
        <f>SUMIFS(Table19[n],Table19[AIR2],"="&amp;BE$3,Table19[WY],"&gt;="&amp;$M10,Table19[WY],"&lt;="&amp;$L10)</f>
        <v>0</v>
      </c>
      <c r="BF10">
        <f>SUMIFS(Table19[n],Table19[AIR2],"="&amp;BF$3,Table19[WY],"&gt;="&amp;$M10,Table19[WY],"&lt;="&amp;$L10)</f>
        <v>0</v>
      </c>
      <c r="BG10">
        <f>SUMIFS(Table19[n],Table19[AIR2],"="&amp;BG$3,Table19[WY],"&gt;="&amp;$M10,Table19[WY],"&lt;="&amp;$L10)</f>
        <v>0</v>
      </c>
    </row>
    <row r="11" spans="1:59">
      <c r="A11">
        <v>12</v>
      </c>
      <c r="B11">
        <v>202504</v>
      </c>
      <c r="C11" t="s">
        <v>346</v>
      </c>
      <c r="D11">
        <v>1</v>
      </c>
      <c r="E11">
        <v>0</v>
      </c>
      <c r="F11">
        <v>0</v>
      </c>
      <c r="G11">
        <v>0</v>
      </c>
      <c r="H11" t="s">
        <v>342</v>
      </c>
      <c r="I11">
        <v>1</v>
      </c>
      <c r="L11">
        <v>202519</v>
      </c>
      <c r="M11">
        <f t="shared" si="1"/>
        <v>202507</v>
      </c>
      <c r="N11">
        <f t="shared" si="2"/>
        <v>53</v>
      </c>
      <c r="O11">
        <f>SUMIFS(Table19[n],Table19[AIR2],"="&amp;O$3,Table19[WY],"&gt;="&amp;$M11,Table19[WY],"&lt;="&amp;$L11)</f>
        <v>0</v>
      </c>
      <c r="P11">
        <f>SUMIFS(Table19[n],Table19[AIR2],"="&amp;P$3,Table19[WY],"&gt;="&amp;$M11,Table19[WY],"&lt;="&amp;$L11)</f>
        <v>0</v>
      </c>
      <c r="Q11">
        <f>SUMIFS(Table19[n],Table19[AIR2],"="&amp;Q$3,Table19[WY],"&gt;="&amp;$M11,Table19[WY],"&lt;="&amp;$L11)</f>
        <v>2</v>
      </c>
      <c r="R11">
        <f>SUMIFS(Table19[n],Table19[AIR2],"="&amp;R$3,Table19[WY],"&gt;="&amp;$M11,Table19[WY],"&lt;="&amp;$L11)</f>
        <v>0</v>
      </c>
      <c r="S11">
        <f>SUMIFS(Table19[n],Table19[AIR2],"="&amp;S$3,Table19[WY],"&gt;="&amp;$M11,Table19[WY],"&lt;="&amp;$L11)</f>
        <v>6</v>
      </c>
      <c r="T11">
        <f>SUMIFS(Table19[n],Table19[AIR2],"="&amp;T$3,Table19[WY],"&gt;="&amp;$M11,Table19[WY],"&lt;="&amp;$L11)</f>
        <v>0</v>
      </c>
      <c r="U11">
        <f>SUMIFS(Table19[n],Table19[AIR2],"="&amp;U$3,Table19[WY],"&gt;="&amp;$M11,Table19[WY],"&lt;="&amp;$L11)</f>
        <v>0</v>
      </c>
      <c r="V11">
        <f>SUMIFS(Table19[n],Table19[AIR2],"="&amp;V$3,Table19[WY],"&gt;="&amp;$M11,Table19[WY],"&lt;="&amp;$L11)</f>
        <v>0</v>
      </c>
      <c r="W11">
        <f>SUMIFS(Table19[n],Table19[AIR2],"="&amp;W$3,Table19[WY],"&gt;="&amp;$M11,Table19[WY],"&lt;="&amp;$L11)</f>
        <v>0</v>
      </c>
      <c r="X11">
        <f>SUMIFS(Table19[n],Table19[AIR2],"="&amp;X$3,Table19[WY],"&gt;="&amp;$M11,Table19[WY],"&lt;="&amp;$L11)</f>
        <v>0</v>
      </c>
      <c r="Y11">
        <f>SUMIFS(Table19[n],Table19[AIR2],"="&amp;Y$3,Table19[WY],"&gt;="&amp;$M11,Table19[WY],"&lt;="&amp;$L11)</f>
        <v>6</v>
      </c>
      <c r="Z11">
        <f>SUMIFS(Table19[n],Table19[AIR2],"="&amp;Z$3,Table19[WY],"&gt;="&amp;$M11,Table19[WY],"&lt;="&amp;$L11)</f>
        <v>0</v>
      </c>
      <c r="AA11">
        <f>SUMIFS(Table19[n],Table19[AIR2],"="&amp;AA$3,Table19[WY],"&gt;="&amp;$M11,Table19[WY],"&lt;="&amp;$L11)</f>
        <v>0</v>
      </c>
      <c r="AB11">
        <f>SUMIFS(Table19[n],Table19[AIR2],"="&amp;AB$3,Table19[WY],"&gt;="&amp;$M11,Table19[WY],"&lt;="&amp;$L11)</f>
        <v>0</v>
      </c>
      <c r="AC11">
        <f>SUMIFS(Table19[n],Table19[AIR2],"="&amp;AC$3,Table19[WY],"&gt;="&amp;$M11,Table19[WY],"&lt;="&amp;$L11)</f>
        <v>0</v>
      </c>
      <c r="AD11">
        <f>SUMIFS(Table19[n],Table19[AIR2],"="&amp;AD$3,Table19[WY],"&gt;="&amp;$M11,Table19[WY],"&lt;="&amp;$L11)</f>
        <v>1</v>
      </c>
      <c r="AE11">
        <f>SUMIFS(Table19[n],Table19[AIR2],"="&amp;AE$3,Table19[WY],"&gt;="&amp;$M11,Table19[WY],"&lt;="&amp;$L11)</f>
        <v>0</v>
      </c>
      <c r="AF11">
        <f>SUMIFS(Table19[n],Table19[AIR2],"="&amp;AF$3,Table19[WY],"&gt;="&amp;$M11,Table19[WY],"&lt;="&amp;$L11)</f>
        <v>1</v>
      </c>
      <c r="AG11">
        <f>SUMIFS(Table19[n],Table19[AIR2],"="&amp;AG$3,Table19[WY],"&gt;="&amp;$M11,Table19[WY],"&lt;="&amp;$L11)</f>
        <v>1</v>
      </c>
      <c r="AH11">
        <f>SUMIFS(Table19[n],Table19[AIR2],"="&amp;AH$3,Table19[WY],"&gt;="&amp;$M11,Table19[WY],"&lt;="&amp;$L11)</f>
        <v>8</v>
      </c>
      <c r="AI11">
        <f>SUMIFS(Table19[n],Table19[AIR2],"="&amp;AI$3,Table19[WY],"&gt;="&amp;$M11,Table19[WY],"&lt;="&amp;$L11)</f>
        <v>2</v>
      </c>
      <c r="AJ11">
        <f>SUMIFS(Table19[n],Table19[AIR2],"="&amp;AJ$3,Table19[WY],"&gt;="&amp;$M11,Table19[WY],"&lt;="&amp;$L11)</f>
        <v>1</v>
      </c>
      <c r="AK11">
        <f>SUMIFS(Table19[n],Table19[AIR2],"="&amp;AK$3,Table19[WY],"&gt;="&amp;$M11,Table19[WY],"&lt;="&amp;$L11)</f>
        <v>1</v>
      </c>
      <c r="AL11">
        <f>SUMIFS(Table19[n],Table19[AIR2],"="&amp;AL$3,Table19[WY],"&gt;="&amp;$M11,Table19[WY],"&lt;="&amp;$L11)</f>
        <v>1</v>
      </c>
      <c r="AM11">
        <f>SUMIFS(Table19[n],Table19[AIR2],"="&amp;AM$3,Table19[WY],"&gt;="&amp;$M11,Table19[WY],"&lt;="&amp;$L11)</f>
        <v>1</v>
      </c>
      <c r="AN11">
        <f>SUMIFS(Table19[n],Table19[AIR2],"="&amp;AN$3,Table19[WY],"&gt;="&amp;$M11,Table19[WY],"&lt;="&amp;$L11)</f>
        <v>1</v>
      </c>
      <c r="AO11">
        <f>SUMIFS(Table19[n],Table19[AIR2],"="&amp;AO$3,Table19[WY],"&gt;="&amp;$M11,Table19[WY],"&lt;="&amp;$L11)</f>
        <v>1</v>
      </c>
      <c r="AP11">
        <f>SUMIFS(Table19[n],Table19[AIR2],"="&amp;AP$3,Table19[WY],"&gt;="&amp;$M11,Table19[WY],"&lt;="&amp;$L11)</f>
        <v>2</v>
      </c>
      <c r="AQ11">
        <f>SUMIFS(Table19[n],Table19[AIR2],"="&amp;AQ$3,Table19[WY],"&gt;="&amp;$M11,Table19[WY],"&lt;="&amp;$L11)</f>
        <v>1</v>
      </c>
      <c r="AR11">
        <f>SUMIFS(Table19[n],Table19[AIR2],"="&amp;AR$3,Table19[WY],"&gt;="&amp;$M11,Table19[WY],"&lt;="&amp;$L11)</f>
        <v>1</v>
      </c>
      <c r="AS11">
        <f>SUMIFS(Table19[n],Table19[AIR2],"="&amp;AS$3,Table19[WY],"&gt;="&amp;$M11,Table19[WY],"&lt;="&amp;$L11)</f>
        <v>1</v>
      </c>
      <c r="AT11">
        <f>SUMIFS(Table19[n],Table19[AIR2],"="&amp;AT$3,Table19[WY],"&gt;="&amp;$M11,Table19[WY],"&lt;="&amp;$L11)</f>
        <v>3</v>
      </c>
      <c r="AU11">
        <f>SUMIFS(Table19[n],Table19[AIR2],"="&amp;AU$3,Table19[WY],"&gt;="&amp;$M11,Table19[WY],"&lt;="&amp;$L11)</f>
        <v>1</v>
      </c>
      <c r="AV11">
        <f>SUMIFS(Table19[n],Table19[AIR2],"="&amp;AV$3,Table19[WY],"&gt;="&amp;$M11,Table19[WY],"&lt;="&amp;$L11)</f>
        <v>4</v>
      </c>
      <c r="AW11">
        <f>SUMIFS(Table19[n],Table19[AIR2],"="&amp;AW$3,Table19[WY],"&gt;="&amp;$M11,Table19[WY],"&lt;="&amp;$L11)</f>
        <v>1</v>
      </c>
      <c r="AX11">
        <f>SUMIFS(Table19[n],Table19[AIR2],"="&amp;AX$3,Table19[WY],"&gt;="&amp;$M11,Table19[WY],"&lt;="&amp;$L11)</f>
        <v>1</v>
      </c>
      <c r="AY11">
        <f>SUMIFS(Table19[n],Table19[AIR2],"="&amp;AY$3,Table19[WY],"&gt;="&amp;$M11,Table19[WY],"&lt;="&amp;$L11)</f>
        <v>1</v>
      </c>
      <c r="AZ11">
        <f>SUMIFS(Table19[n],Table19[AIR2],"="&amp;AZ$3,Table19[WY],"&gt;="&amp;$M11,Table19[WY],"&lt;="&amp;$L11)</f>
        <v>1</v>
      </c>
      <c r="BA11">
        <f>SUMIFS(Table19[n],Table19[AIR2],"="&amp;BA$3,Table19[WY],"&gt;="&amp;$M11,Table19[WY],"&lt;="&amp;$L11)</f>
        <v>1</v>
      </c>
      <c r="BB11">
        <f>SUMIFS(Table19[n],Table19[AIR2],"="&amp;BB$3,Table19[WY],"&gt;="&amp;$M11,Table19[WY],"&lt;="&amp;$L11)</f>
        <v>1</v>
      </c>
      <c r="BC11">
        <f>SUMIFS(Table19[n],Table19[AIR2],"="&amp;BC$3,Table19[WY],"&gt;="&amp;$M11,Table19[WY],"&lt;="&amp;$L11)</f>
        <v>1</v>
      </c>
      <c r="BD11">
        <f>SUMIFS(Table19[n],Table19[AIR2],"="&amp;BD$3,Table19[WY],"&gt;="&amp;$M11,Table19[WY],"&lt;="&amp;$L11)</f>
        <v>0</v>
      </c>
      <c r="BE11">
        <f>SUMIFS(Table19[n],Table19[AIR2],"="&amp;BE$3,Table19[WY],"&gt;="&amp;$M11,Table19[WY],"&lt;="&amp;$L11)</f>
        <v>0</v>
      </c>
      <c r="BF11">
        <f>SUMIFS(Table19[n],Table19[AIR2],"="&amp;BF$3,Table19[WY],"&gt;="&amp;$M11,Table19[WY],"&lt;="&amp;$L11)</f>
        <v>0</v>
      </c>
      <c r="BG11">
        <f>SUMIFS(Table19[n],Table19[AIR2],"="&amp;BG$3,Table19[WY],"&gt;="&amp;$M11,Table19[WY],"&lt;="&amp;$L11)</f>
        <v>0</v>
      </c>
    </row>
    <row r="12" spans="1:59">
      <c r="A12">
        <v>13</v>
      </c>
      <c r="B12">
        <v>202504</v>
      </c>
      <c r="C12" t="s">
        <v>352</v>
      </c>
      <c r="D12">
        <v>0</v>
      </c>
      <c r="E12">
        <v>1</v>
      </c>
      <c r="F12">
        <v>0</v>
      </c>
      <c r="G12">
        <v>0</v>
      </c>
      <c r="H12" t="s">
        <v>350</v>
      </c>
      <c r="I12">
        <v>1</v>
      </c>
      <c r="L12">
        <v>202520</v>
      </c>
      <c r="M12">
        <f t="shared" si="1"/>
        <v>202508</v>
      </c>
      <c r="N12">
        <f t="shared" si="2"/>
        <v>54</v>
      </c>
      <c r="O12">
        <f>SUMIFS(Table19[n],Table19[AIR2],"="&amp;O$3,Table19[WY],"&gt;="&amp;$M12,Table19[WY],"&lt;="&amp;$L12)</f>
        <v>0</v>
      </c>
      <c r="P12">
        <f>SUMIFS(Table19[n],Table19[AIR2],"="&amp;P$3,Table19[WY],"&gt;="&amp;$M12,Table19[WY],"&lt;="&amp;$L12)</f>
        <v>0</v>
      </c>
      <c r="Q12">
        <f>SUMIFS(Table19[n],Table19[AIR2],"="&amp;Q$3,Table19[WY],"&gt;="&amp;$M12,Table19[WY],"&lt;="&amp;$L12)</f>
        <v>1</v>
      </c>
      <c r="R12">
        <f>SUMIFS(Table19[n],Table19[AIR2],"="&amp;R$3,Table19[WY],"&gt;="&amp;$M12,Table19[WY],"&lt;="&amp;$L12)</f>
        <v>0</v>
      </c>
      <c r="S12">
        <f>SUMIFS(Table19[n],Table19[AIR2],"="&amp;S$3,Table19[WY],"&gt;="&amp;$M12,Table19[WY],"&lt;="&amp;$L12)</f>
        <v>5</v>
      </c>
      <c r="T12">
        <f>SUMIFS(Table19[n],Table19[AIR2],"="&amp;T$3,Table19[WY],"&gt;="&amp;$M12,Table19[WY],"&lt;="&amp;$L12)</f>
        <v>0</v>
      </c>
      <c r="U12">
        <f>SUMIFS(Table19[n],Table19[AIR2],"="&amp;U$3,Table19[WY],"&gt;="&amp;$M12,Table19[WY],"&lt;="&amp;$L12)</f>
        <v>0</v>
      </c>
      <c r="V12">
        <f>SUMIFS(Table19[n],Table19[AIR2],"="&amp;V$3,Table19[WY],"&gt;="&amp;$M12,Table19[WY],"&lt;="&amp;$L12)</f>
        <v>0</v>
      </c>
      <c r="W12">
        <f>SUMIFS(Table19[n],Table19[AIR2],"="&amp;W$3,Table19[WY],"&gt;="&amp;$M12,Table19[WY],"&lt;="&amp;$L12)</f>
        <v>0</v>
      </c>
      <c r="X12">
        <f>SUMIFS(Table19[n],Table19[AIR2],"="&amp;X$3,Table19[WY],"&gt;="&amp;$M12,Table19[WY],"&lt;="&amp;$L12)</f>
        <v>0</v>
      </c>
      <c r="Y12">
        <f>SUMIFS(Table19[n],Table19[AIR2],"="&amp;Y$3,Table19[WY],"&gt;="&amp;$M12,Table19[WY],"&lt;="&amp;$L12)</f>
        <v>6</v>
      </c>
      <c r="Z12">
        <f>SUMIFS(Table19[n],Table19[AIR2],"="&amp;Z$3,Table19[WY],"&gt;="&amp;$M12,Table19[WY],"&lt;="&amp;$L12)</f>
        <v>0</v>
      </c>
      <c r="AA12">
        <f>SUMIFS(Table19[n],Table19[AIR2],"="&amp;AA$3,Table19[WY],"&gt;="&amp;$M12,Table19[WY],"&lt;="&amp;$L12)</f>
        <v>0</v>
      </c>
      <c r="AB12">
        <f>SUMIFS(Table19[n],Table19[AIR2],"="&amp;AB$3,Table19[WY],"&gt;="&amp;$M12,Table19[WY],"&lt;="&amp;$L12)</f>
        <v>0</v>
      </c>
      <c r="AC12">
        <f>SUMIFS(Table19[n],Table19[AIR2],"="&amp;AC$3,Table19[WY],"&gt;="&amp;$M12,Table19[WY],"&lt;="&amp;$L12)</f>
        <v>0</v>
      </c>
      <c r="AD12">
        <f>SUMIFS(Table19[n],Table19[AIR2],"="&amp;AD$3,Table19[WY],"&gt;="&amp;$M12,Table19[WY],"&lt;="&amp;$L12)</f>
        <v>1</v>
      </c>
      <c r="AE12">
        <f>SUMIFS(Table19[n],Table19[AIR2],"="&amp;AE$3,Table19[WY],"&gt;="&amp;$M12,Table19[WY],"&lt;="&amp;$L12)</f>
        <v>0</v>
      </c>
      <c r="AF12">
        <f>SUMIFS(Table19[n],Table19[AIR2],"="&amp;AF$3,Table19[WY],"&gt;="&amp;$M12,Table19[WY],"&lt;="&amp;$L12)</f>
        <v>0</v>
      </c>
      <c r="AG12">
        <f>SUMIFS(Table19[n],Table19[AIR2],"="&amp;AG$3,Table19[WY],"&gt;="&amp;$M12,Table19[WY],"&lt;="&amp;$L12)</f>
        <v>1</v>
      </c>
      <c r="AH12">
        <f>SUMIFS(Table19[n],Table19[AIR2],"="&amp;AH$3,Table19[WY],"&gt;="&amp;$M12,Table19[WY],"&lt;="&amp;$L12)</f>
        <v>9</v>
      </c>
      <c r="AI12">
        <f>SUMIFS(Table19[n],Table19[AIR2],"="&amp;AI$3,Table19[WY],"&gt;="&amp;$M12,Table19[WY],"&lt;="&amp;$L12)</f>
        <v>2</v>
      </c>
      <c r="AJ12">
        <f>SUMIFS(Table19[n],Table19[AIR2],"="&amp;AJ$3,Table19[WY],"&gt;="&amp;$M12,Table19[WY],"&lt;="&amp;$L12)</f>
        <v>1</v>
      </c>
      <c r="AK12">
        <f>SUMIFS(Table19[n],Table19[AIR2],"="&amp;AK$3,Table19[WY],"&gt;="&amp;$M12,Table19[WY],"&lt;="&amp;$L12)</f>
        <v>1</v>
      </c>
      <c r="AL12">
        <f>SUMIFS(Table19[n],Table19[AIR2],"="&amp;AL$3,Table19[WY],"&gt;="&amp;$M12,Table19[WY],"&lt;="&amp;$L12)</f>
        <v>1</v>
      </c>
      <c r="AM12">
        <f>SUMIFS(Table19[n],Table19[AIR2],"="&amp;AM$3,Table19[WY],"&gt;="&amp;$M12,Table19[WY],"&lt;="&amp;$L12)</f>
        <v>1</v>
      </c>
      <c r="AN12">
        <f>SUMIFS(Table19[n],Table19[AIR2],"="&amp;AN$3,Table19[WY],"&gt;="&amp;$M12,Table19[WY],"&lt;="&amp;$L12)</f>
        <v>2</v>
      </c>
      <c r="AO12">
        <f>SUMIFS(Table19[n],Table19[AIR2],"="&amp;AO$3,Table19[WY],"&gt;="&amp;$M12,Table19[WY],"&lt;="&amp;$L12)</f>
        <v>1</v>
      </c>
      <c r="AP12">
        <f>SUMIFS(Table19[n],Table19[AIR2],"="&amp;AP$3,Table19[WY],"&gt;="&amp;$M12,Table19[WY],"&lt;="&amp;$L12)</f>
        <v>2</v>
      </c>
      <c r="AQ12">
        <f>SUMIFS(Table19[n],Table19[AIR2],"="&amp;AQ$3,Table19[WY],"&gt;="&amp;$M12,Table19[WY],"&lt;="&amp;$L12)</f>
        <v>1</v>
      </c>
      <c r="AR12">
        <f>SUMIFS(Table19[n],Table19[AIR2],"="&amp;AR$3,Table19[WY],"&gt;="&amp;$M12,Table19[WY],"&lt;="&amp;$L12)</f>
        <v>1</v>
      </c>
      <c r="AS12">
        <f>SUMIFS(Table19[n],Table19[AIR2],"="&amp;AS$3,Table19[WY],"&gt;="&amp;$M12,Table19[WY],"&lt;="&amp;$L12)</f>
        <v>1</v>
      </c>
      <c r="AT12">
        <f>SUMIFS(Table19[n],Table19[AIR2],"="&amp;AT$3,Table19[WY],"&gt;="&amp;$M12,Table19[WY],"&lt;="&amp;$L12)</f>
        <v>3</v>
      </c>
      <c r="AU12">
        <f>SUMIFS(Table19[n],Table19[AIR2],"="&amp;AU$3,Table19[WY],"&gt;="&amp;$M12,Table19[WY],"&lt;="&amp;$L12)</f>
        <v>1</v>
      </c>
      <c r="AV12">
        <f>SUMIFS(Table19[n],Table19[AIR2],"="&amp;AV$3,Table19[WY],"&gt;="&amp;$M12,Table19[WY],"&lt;="&amp;$L12)</f>
        <v>4</v>
      </c>
      <c r="AW12">
        <f>SUMIFS(Table19[n],Table19[AIR2],"="&amp;AW$3,Table19[WY],"&gt;="&amp;$M12,Table19[WY],"&lt;="&amp;$L12)</f>
        <v>1</v>
      </c>
      <c r="AX12">
        <f>SUMIFS(Table19[n],Table19[AIR2],"="&amp;AX$3,Table19[WY],"&gt;="&amp;$M12,Table19[WY],"&lt;="&amp;$L12)</f>
        <v>1</v>
      </c>
      <c r="AY12">
        <f>SUMIFS(Table19[n],Table19[AIR2],"="&amp;AY$3,Table19[WY],"&gt;="&amp;$M12,Table19[WY],"&lt;="&amp;$L12)</f>
        <v>1</v>
      </c>
      <c r="AZ12">
        <f>SUMIFS(Table19[n],Table19[AIR2],"="&amp;AZ$3,Table19[WY],"&gt;="&amp;$M12,Table19[WY],"&lt;="&amp;$L12)</f>
        <v>1</v>
      </c>
      <c r="BA12">
        <f>SUMIFS(Table19[n],Table19[AIR2],"="&amp;BA$3,Table19[WY],"&gt;="&amp;$M12,Table19[WY],"&lt;="&amp;$L12)</f>
        <v>1</v>
      </c>
      <c r="BB12">
        <f>SUMIFS(Table19[n],Table19[AIR2],"="&amp;BB$3,Table19[WY],"&gt;="&amp;$M12,Table19[WY],"&lt;="&amp;$L12)</f>
        <v>1</v>
      </c>
      <c r="BC12">
        <f>SUMIFS(Table19[n],Table19[AIR2],"="&amp;BC$3,Table19[WY],"&gt;="&amp;$M12,Table19[WY],"&lt;="&amp;$L12)</f>
        <v>1</v>
      </c>
      <c r="BD12">
        <f>SUMIFS(Table19[n],Table19[AIR2],"="&amp;BD$3,Table19[WY],"&gt;="&amp;$M12,Table19[WY],"&lt;="&amp;$L12)</f>
        <v>2</v>
      </c>
      <c r="BE12">
        <f>SUMIFS(Table19[n],Table19[AIR2],"="&amp;BE$3,Table19[WY],"&gt;="&amp;$M12,Table19[WY],"&lt;="&amp;$L12)</f>
        <v>0</v>
      </c>
      <c r="BF12">
        <f>SUMIFS(Table19[n],Table19[AIR2],"="&amp;BF$3,Table19[WY],"&gt;="&amp;$M12,Table19[WY],"&lt;="&amp;$L12)</f>
        <v>0</v>
      </c>
      <c r="BG12">
        <f>SUMIFS(Table19[n],Table19[AIR2],"="&amp;BG$3,Table19[WY],"&gt;="&amp;$M12,Table19[WY],"&lt;="&amp;$L12)</f>
        <v>0</v>
      </c>
    </row>
    <row r="13" spans="1:59">
      <c r="A13">
        <v>14</v>
      </c>
      <c r="B13">
        <v>202504</v>
      </c>
      <c r="C13" t="s">
        <v>362</v>
      </c>
      <c r="D13">
        <v>1</v>
      </c>
      <c r="E13">
        <v>0</v>
      </c>
      <c r="F13">
        <v>0</v>
      </c>
      <c r="G13">
        <v>0</v>
      </c>
      <c r="H13" t="s">
        <v>359</v>
      </c>
      <c r="I13">
        <v>1</v>
      </c>
      <c r="L13">
        <v>202521</v>
      </c>
      <c r="M13">
        <f t="shared" si="1"/>
        <v>202509</v>
      </c>
      <c r="N13">
        <f t="shared" si="2"/>
        <v>55</v>
      </c>
      <c r="O13">
        <f>SUMIFS(Table19[n],Table19[AIR2],"="&amp;O$3,Table19[WY],"&gt;="&amp;$M13,Table19[WY],"&lt;="&amp;$L13)</f>
        <v>0</v>
      </c>
      <c r="P13">
        <f>SUMIFS(Table19[n],Table19[AIR2],"="&amp;P$3,Table19[WY],"&gt;="&amp;$M13,Table19[WY],"&lt;="&amp;$L13)</f>
        <v>0</v>
      </c>
      <c r="Q13">
        <f>SUMIFS(Table19[n],Table19[AIR2],"="&amp;Q$3,Table19[WY],"&gt;="&amp;$M13,Table19[WY],"&lt;="&amp;$L13)</f>
        <v>1</v>
      </c>
      <c r="R13">
        <f>SUMIFS(Table19[n],Table19[AIR2],"="&amp;R$3,Table19[WY],"&gt;="&amp;$M13,Table19[WY],"&lt;="&amp;$L13)</f>
        <v>0</v>
      </c>
      <c r="S13">
        <f>SUMIFS(Table19[n],Table19[AIR2],"="&amp;S$3,Table19[WY],"&gt;="&amp;$M13,Table19[WY],"&lt;="&amp;$L13)</f>
        <v>4</v>
      </c>
      <c r="T13">
        <f>SUMIFS(Table19[n],Table19[AIR2],"="&amp;T$3,Table19[WY],"&gt;="&amp;$M13,Table19[WY],"&lt;="&amp;$L13)</f>
        <v>0</v>
      </c>
      <c r="U13">
        <f>SUMIFS(Table19[n],Table19[AIR2],"="&amp;U$3,Table19[WY],"&gt;="&amp;$M13,Table19[WY],"&lt;="&amp;$L13)</f>
        <v>0</v>
      </c>
      <c r="V13">
        <f>SUMIFS(Table19[n],Table19[AIR2],"="&amp;V$3,Table19[WY],"&gt;="&amp;$M13,Table19[WY],"&lt;="&amp;$L13)</f>
        <v>0</v>
      </c>
      <c r="W13">
        <f>SUMIFS(Table19[n],Table19[AIR2],"="&amp;W$3,Table19[WY],"&gt;="&amp;$M13,Table19[WY],"&lt;="&amp;$L13)</f>
        <v>0</v>
      </c>
      <c r="X13">
        <f>SUMIFS(Table19[n],Table19[AIR2],"="&amp;X$3,Table19[WY],"&gt;="&amp;$M13,Table19[WY],"&lt;="&amp;$L13)</f>
        <v>0</v>
      </c>
      <c r="Y13">
        <f>SUMIFS(Table19[n],Table19[AIR2],"="&amp;Y$3,Table19[WY],"&gt;="&amp;$M13,Table19[WY],"&lt;="&amp;$L13)</f>
        <v>5</v>
      </c>
      <c r="Z13">
        <f>SUMIFS(Table19[n],Table19[AIR2],"="&amp;Z$3,Table19[WY],"&gt;="&amp;$M13,Table19[WY],"&lt;="&amp;$L13)</f>
        <v>0</v>
      </c>
      <c r="AA13">
        <f>SUMIFS(Table19[n],Table19[AIR2],"="&amp;AA$3,Table19[WY],"&gt;="&amp;$M13,Table19[WY],"&lt;="&amp;$L13)</f>
        <v>0</v>
      </c>
      <c r="AB13">
        <f>SUMIFS(Table19[n],Table19[AIR2],"="&amp;AB$3,Table19[WY],"&gt;="&amp;$M13,Table19[WY],"&lt;="&amp;$L13)</f>
        <v>0</v>
      </c>
      <c r="AC13">
        <f>SUMIFS(Table19[n],Table19[AIR2],"="&amp;AC$3,Table19[WY],"&gt;="&amp;$M13,Table19[WY],"&lt;="&amp;$L13)</f>
        <v>0</v>
      </c>
      <c r="AD13">
        <f>SUMIFS(Table19[n],Table19[AIR2],"="&amp;AD$3,Table19[WY],"&gt;="&amp;$M13,Table19[WY],"&lt;="&amp;$L13)</f>
        <v>1</v>
      </c>
      <c r="AE13">
        <f>SUMIFS(Table19[n],Table19[AIR2],"="&amp;AE$3,Table19[WY],"&gt;="&amp;$M13,Table19[WY],"&lt;="&amp;$L13)</f>
        <v>0</v>
      </c>
      <c r="AF13">
        <f>SUMIFS(Table19[n],Table19[AIR2],"="&amp;AF$3,Table19[WY],"&gt;="&amp;$M13,Table19[WY],"&lt;="&amp;$L13)</f>
        <v>0</v>
      </c>
      <c r="AG13">
        <f>SUMIFS(Table19[n],Table19[AIR2],"="&amp;AG$3,Table19[WY],"&gt;="&amp;$M13,Table19[WY],"&lt;="&amp;$L13)</f>
        <v>0</v>
      </c>
      <c r="AH13">
        <f>SUMIFS(Table19[n],Table19[AIR2],"="&amp;AH$3,Table19[WY],"&gt;="&amp;$M13,Table19[WY],"&lt;="&amp;$L13)</f>
        <v>9</v>
      </c>
      <c r="AI13">
        <f>SUMIFS(Table19[n],Table19[AIR2],"="&amp;AI$3,Table19[WY],"&gt;="&amp;$M13,Table19[WY],"&lt;="&amp;$L13)</f>
        <v>2</v>
      </c>
      <c r="AJ13">
        <f>SUMIFS(Table19[n],Table19[AIR2],"="&amp;AJ$3,Table19[WY],"&gt;="&amp;$M13,Table19[WY],"&lt;="&amp;$L13)</f>
        <v>1</v>
      </c>
      <c r="AK13">
        <f>SUMIFS(Table19[n],Table19[AIR2],"="&amp;AK$3,Table19[WY],"&gt;="&amp;$M13,Table19[WY],"&lt;="&amp;$L13)</f>
        <v>1</v>
      </c>
      <c r="AL13">
        <f>SUMIFS(Table19[n],Table19[AIR2],"="&amp;AL$3,Table19[WY],"&gt;="&amp;$M13,Table19[WY],"&lt;="&amp;$L13)</f>
        <v>1</v>
      </c>
      <c r="AM13">
        <f>SUMIFS(Table19[n],Table19[AIR2],"="&amp;AM$3,Table19[WY],"&gt;="&amp;$M13,Table19[WY],"&lt;="&amp;$L13)</f>
        <v>1</v>
      </c>
      <c r="AN13">
        <f>SUMIFS(Table19[n],Table19[AIR2],"="&amp;AN$3,Table19[WY],"&gt;="&amp;$M13,Table19[WY],"&lt;="&amp;$L13)</f>
        <v>2</v>
      </c>
      <c r="AO13">
        <f>SUMIFS(Table19[n],Table19[AIR2],"="&amp;AO$3,Table19[WY],"&gt;="&amp;$M13,Table19[WY],"&lt;="&amp;$L13)</f>
        <v>1</v>
      </c>
      <c r="AP13">
        <f>SUMIFS(Table19[n],Table19[AIR2],"="&amp;AP$3,Table19[WY],"&gt;="&amp;$M13,Table19[WY],"&lt;="&amp;$L13)</f>
        <v>2</v>
      </c>
      <c r="AQ13">
        <f>SUMIFS(Table19[n],Table19[AIR2],"="&amp;AQ$3,Table19[WY],"&gt;="&amp;$M13,Table19[WY],"&lt;="&amp;$L13)</f>
        <v>1</v>
      </c>
      <c r="AR13">
        <f>SUMIFS(Table19[n],Table19[AIR2],"="&amp;AR$3,Table19[WY],"&gt;="&amp;$M13,Table19[WY],"&lt;="&amp;$L13)</f>
        <v>1</v>
      </c>
      <c r="AS13">
        <f>SUMIFS(Table19[n],Table19[AIR2],"="&amp;AS$3,Table19[WY],"&gt;="&amp;$M13,Table19[WY],"&lt;="&amp;$L13)</f>
        <v>1</v>
      </c>
      <c r="AT13">
        <f>SUMIFS(Table19[n],Table19[AIR2],"="&amp;AT$3,Table19[WY],"&gt;="&amp;$M13,Table19[WY],"&lt;="&amp;$L13)</f>
        <v>3</v>
      </c>
      <c r="AU13">
        <f>SUMIFS(Table19[n],Table19[AIR2],"="&amp;AU$3,Table19[WY],"&gt;="&amp;$M13,Table19[WY],"&lt;="&amp;$L13)</f>
        <v>1</v>
      </c>
      <c r="AV13">
        <f>SUMIFS(Table19[n],Table19[AIR2],"="&amp;AV$3,Table19[WY],"&gt;="&amp;$M13,Table19[WY],"&lt;="&amp;$L13)</f>
        <v>4</v>
      </c>
      <c r="AW13">
        <f>SUMIFS(Table19[n],Table19[AIR2],"="&amp;AW$3,Table19[WY],"&gt;="&amp;$M13,Table19[WY],"&lt;="&amp;$L13)</f>
        <v>1</v>
      </c>
      <c r="AX13">
        <f>SUMIFS(Table19[n],Table19[AIR2],"="&amp;AX$3,Table19[WY],"&gt;="&amp;$M13,Table19[WY],"&lt;="&amp;$L13)</f>
        <v>1</v>
      </c>
      <c r="AY13">
        <f>SUMIFS(Table19[n],Table19[AIR2],"="&amp;AY$3,Table19[WY],"&gt;="&amp;$M13,Table19[WY],"&lt;="&amp;$L13)</f>
        <v>1</v>
      </c>
      <c r="AZ13">
        <f>SUMIFS(Table19[n],Table19[AIR2],"="&amp;AZ$3,Table19[WY],"&gt;="&amp;$M13,Table19[WY],"&lt;="&amp;$L13)</f>
        <v>1</v>
      </c>
      <c r="BA13">
        <f>SUMIFS(Table19[n],Table19[AIR2],"="&amp;BA$3,Table19[WY],"&gt;="&amp;$M13,Table19[WY],"&lt;="&amp;$L13)</f>
        <v>1</v>
      </c>
      <c r="BB13">
        <f>SUMIFS(Table19[n],Table19[AIR2],"="&amp;BB$3,Table19[WY],"&gt;="&amp;$M13,Table19[WY],"&lt;="&amp;$L13)</f>
        <v>1</v>
      </c>
      <c r="BC13">
        <f>SUMIFS(Table19[n],Table19[AIR2],"="&amp;BC$3,Table19[WY],"&gt;="&amp;$M13,Table19[WY],"&lt;="&amp;$L13)</f>
        <v>1</v>
      </c>
      <c r="BD13">
        <f>SUMIFS(Table19[n],Table19[AIR2],"="&amp;BD$3,Table19[WY],"&gt;="&amp;$M13,Table19[WY],"&lt;="&amp;$L13)</f>
        <v>2</v>
      </c>
      <c r="BE13">
        <f>SUMIFS(Table19[n],Table19[AIR2],"="&amp;BE$3,Table19[WY],"&gt;="&amp;$M13,Table19[WY],"&lt;="&amp;$L13)</f>
        <v>2</v>
      </c>
      <c r="BF13">
        <f>SUMIFS(Table19[n],Table19[AIR2],"="&amp;BF$3,Table19[WY],"&gt;="&amp;$M13,Table19[WY],"&lt;="&amp;$L13)</f>
        <v>2</v>
      </c>
      <c r="BG13">
        <f>SUMIFS(Table19[n],Table19[AIR2],"="&amp;BG$3,Table19[WY],"&gt;="&amp;$M13,Table19[WY],"&lt;="&amp;$L13)</f>
        <v>0</v>
      </c>
    </row>
    <row r="14" spans="1:59">
      <c r="A14">
        <v>15</v>
      </c>
      <c r="B14">
        <v>202504</v>
      </c>
      <c r="C14" t="s">
        <v>366</v>
      </c>
      <c r="D14">
        <v>1</v>
      </c>
      <c r="E14">
        <v>0</v>
      </c>
      <c r="F14">
        <v>0</v>
      </c>
      <c r="G14">
        <v>0</v>
      </c>
      <c r="H14" t="s">
        <v>363</v>
      </c>
      <c r="I14">
        <v>1</v>
      </c>
      <c r="L14">
        <v>202522</v>
      </c>
      <c r="M14">
        <f t="shared" si="1"/>
        <v>202510</v>
      </c>
      <c r="N14">
        <f t="shared" si="2"/>
        <v>55</v>
      </c>
      <c r="O14">
        <f>SUMIFS(Table19[n],Table19[AIR2],"="&amp;O$3,Table19[WY],"&gt;="&amp;$M14,Table19[WY],"&lt;="&amp;$L14)</f>
        <v>0</v>
      </c>
      <c r="P14">
        <f>SUMIFS(Table19[n],Table19[AIR2],"="&amp;P$3,Table19[WY],"&gt;="&amp;$M14,Table19[WY],"&lt;="&amp;$L14)</f>
        <v>0</v>
      </c>
      <c r="Q14">
        <f>SUMIFS(Table19[n],Table19[AIR2],"="&amp;Q$3,Table19[WY],"&gt;="&amp;$M14,Table19[WY],"&lt;="&amp;$L14)</f>
        <v>0</v>
      </c>
      <c r="R14">
        <f>SUMIFS(Table19[n],Table19[AIR2],"="&amp;R$3,Table19[WY],"&gt;="&amp;$M14,Table19[WY],"&lt;="&amp;$L14)</f>
        <v>0</v>
      </c>
      <c r="S14">
        <f>SUMIFS(Table19[n],Table19[AIR2],"="&amp;S$3,Table19[WY],"&gt;="&amp;$M14,Table19[WY],"&lt;="&amp;$L14)</f>
        <v>4</v>
      </c>
      <c r="T14">
        <f>SUMIFS(Table19[n],Table19[AIR2],"="&amp;T$3,Table19[WY],"&gt;="&amp;$M14,Table19[WY],"&lt;="&amp;$L14)</f>
        <v>0</v>
      </c>
      <c r="U14">
        <f>SUMIFS(Table19[n],Table19[AIR2],"="&amp;U$3,Table19[WY],"&gt;="&amp;$M14,Table19[WY],"&lt;="&amp;$L14)</f>
        <v>0</v>
      </c>
      <c r="V14">
        <f>SUMIFS(Table19[n],Table19[AIR2],"="&amp;V$3,Table19[WY],"&gt;="&amp;$M14,Table19[WY],"&lt;="&amp;$L14)</f>
        <v>0</v>
      </c>
      <c r="W14">
        <f>SUMIFS(Table19[n],Table19[AIR2],"="&amp;W$3,Table19[WY],"&gt;="&amp;$M14,Table19[WY],"&lt;="&amp;$L14)</f>
        <v>0</v>
      </c>
      <c r="X14">
        <f>SUMIFS(Table19[n],Table19[AIR2],"="&amp;X$3,Table19[WY],"&gt;="&amp;$M14,Table19[WY],"&lt;="&amp;$L14)</f>
        <v>0</v>
      </c>
      <c r="Y14">
        <f>SUMIFS(Table19[n],Table19[AIR2],"="&amp;Y$3,Table19[WY],"&gt;="&amp;$M14,Table19[WY],"&lt;="&amp;$L14)</f>
        <v>5</v>
      </c>
      <c r="Z14">
        <f>SUMIFS(Table19[n],Table19[AIR2],"="&amp;Z$3,Table19[WY],"&gt;="&amp;$M14,Table19[WY],"&lt;="&amp;$L14)</f>
        <v>0</v>
      </c>
      <c r="AA14">
        <f>SUMIFS(Table19[n],Table19[AIR2],"="&amp;AA$3,Table19[WY],"&gt;="&amp;$M14,Table19[WY],"&lt;="&amp;$L14)</f>
        <v>0</v>
      </c>
      <c r="AB14">
        <f>SUMIFS(Table19[n],Table19[AIR2],"="&amp;AB$3,Table19[WY],"&gt;="&amp;$M14,Table19[WY],"&lt;="&amp;$L14)</f>
        <v>0</v>
      </c>
      <c r="AC14">
        <f>SUMIFS(Table19[n],Table19[AIR2],"="&amp;AC$3,Table19[WY],"&gt;="&amp;$M14,Table19[WY],"&lt;="&amp;$L14)</f>
        <v>0</v>
      </c>
      <c r="AD14">
        <f>SUMIFS(Table19[n],Table19[AIR2],"="&amp;AD$3,Table19[WY],"&gt;="&amp;$M14,Table19[WY],"&lt;="&amp;$L14)</f>
        <v>1</v>
      </c>
      <c r="AE14">
        <f>SUMIFS(Table19[n],Table19[AIR2],"="&amp;AE$3,Table19[WY],"&gt;="&amp;$M14,Table19[WY],"&lt;="&amp;$L14)</f>
        <v>0</v>
      </c>
      <c r="AF14">
        <f>SUMIFS(Table19[n],Table19[AIR2],"="&amp;AF$3,Table19[WY],"&gt;="&amp;$M14,Table19[WY],"&lt;="&amp;$L14)</f>
        <v>0</v>
      </c>
      <c r="AG14">
        <f>SUMIFS(Table19[n],Table19[AIR2],"="&amp;AG$3,Table19[WY],"&gt;="&amp;$M14,Table19[WY],"&lt;="&amp;$L14)</f>
        <v>0</v>
      </c>
      <c r="AH14">
        <f>SUMIFS(Table19[n],Table19[AIR2],"="&amp;AH$3,Table19[WY],"&gt;="&amp;$M14,Table19[WY],"&lt;="&amp;$L14)</f>
        <v>8</v>
      </c>
      <c r="AI14">
        <f>SUMIFS(Table19[n],Table19[AIR2],"="&amp;AI$3,Table19[WY],"&gt;="&amp;$M14,Table19[WY],"&lt;="&amp;$L14)</f>
        <v>2</v>
      </c>
      <c r="AJ14">
        <f>SUMIFS(Table19[n],Table19[AIR2],"="&amp;AJ$3,Table19[WY],"&gt;="&amp;$M14,Table19[WY],"&lt;="&amp;$L14)</f>
        <v>1</v>
      </c>
      <c r="AK14">
        <f>SUMIFS(Table19[n],Table19[AIR2],"="&amp;AK$3,Table19[WY],"&gt;="&amp;$M14,Table19[WY],"&lt;="&amp;$L14)</f>
        <v>1</v>
      </c>
      <c r="AL14">
        <f>SUMIFS(Table19[n],Table19[AIR2],"="&amp;AL$3,Table19[WY],"&gt;="&amp;$M14,Table19[WY],"&lt;="&amp;$L14)</f>
        <v>1</v>
      </c>
      <c r="AM14">
        <f>SUMIFS(Table19[n],Table19[AIR2],"="&amp;AM$3,Table19[WY],"&gt;="&amp;$M14,Table19[WY],"&lt;="&amp;$L14)</f>
        <v>1</v>
      </c>
      <c r="AN14">
        <f>SUMIFS(Table19[n],Table19[AIR2],"="&amp;AN$3,Table19[WY],"&gt;="&amp;$M14,Table19[WY],"&lt;="&amp;$L14)</f>
        <v>2</v>
      </c>
      <c r="AO14">
        <f>SUMIFS(Table19[n],Table19[AIR2],"="&amp;AO$3,Table19[WY],"&gt;="&amp;$M14,Table19[WY],"&lt;="&amp;$L14)</f>
        <v>1</v>
      </c>
      <c r="AP14">
        <f>SUMIFS(Table19[n],Table19[AIR2],"="&amp;AP$3,Table19[WY],"&gt;="&amp;$M14,Table19[WY],"&lt;="&amp;$L14)</f>
        <v>2</v>
      </c>
      <c r="AQ14">
        <f>SUMIFS(Table19[n],Table19[AIR2],"="&amp;AQ$3,Table19[WY],"&gt;="&amp;$M14,Table19[WY],"&lt;="&amp;$L14)</f>
        <v>2</v>
      </c>
      <c r="AR14">
        <f>SUMIFS(Table19[n],Table19[AIR2],"="&amp;AR$3,Table19[WY],"&gt;="&amp;$M14,Table19[WY],"&lt;="&amp;$L14)</f>
        <v>1</v>
      </c>
      <c r="AS14">
        <f>SUMIFS(Table19[n],Table19[AIR2],"="&amp;AS$3,Table19[WY],"&gt;="&amp;$M14,Table19[WY],"&lt;="&amp;$L14)</f>
        <v>1</v>
      </c>
      <c r="AT14">
        <f>SUMIFS(Table19[n],Table19[AIR2],"="&amp;AT$3,Table19[WY],"&gt;="&amp;$M14,Table19[WY],"&lt;="&amp;$L14)</f>
        <v>3</v>
      </c>
      <c r="AU14">
        <f>SUMIFS(Table19[n],Table19[AIR2],"="&amp;AU$3,Table19[WY],"&gt;="&amp;$M14,Table19[WY],"&lt;="&amp;$L14)</f>
        <v>1</v>
      </c>
      <c r="AV14">
        <f>SUMIFS(Table19[n],Table19[AIR2],"="&amp;AV$3,Table19[WY],"&gt;="&amp;$M14,Table19[WY],"&lt;="&amp;$L14)</f>
        <v>4</v>
      </c>
      <c r="AW14">
        <f>SUMIFS(Table19[n],Table19[AIR2],"="&amp;AW$3,Table19[WY],"&gt;="&amp;$M14,Table19[WY],"&lt;="&amp;$L14)</f>
        <v>1</v>
      </c>
      <c r="AX14">
        <f>SUMIFS(Table19[n],Table19[AIR2],"="&amp;AX$3,Table19[WY],"&gt;="&amp;$M14,Table19[WY],"&lt;="&amp;$L14)</f>
        <v>1</v>
      </c>
      <c r="AY14">
        <f>SUMIFS(Table19[n],Table19[AIR2],"="&amp;AY$3,Table19[WY],"&gt;="&amp;$M14,Table19[WY],"&lt;="&amp;$L14)</f>
        <v>1</v>
      </c>
      <c r="AZ14">
        <f>SUMIFS(Table19[n],Table19[AIR2],"="&amp;AZ$3,Table19[WY],"&gt;="&amp;$M14,Table19[WY],"&lt;="&amp;$L14)</f>
        <v>1</v>
      </c>
      <c r="BA14">
        <f>SUMIFS(Table19[n],Table19[AIR2],"="&amp;BA$3,Table19[WY],"&gt;="&amp;$M14,Table19[WY],"&lt;="&amp;$L14)</f>
        <v>1</v>
      </c>
      <c r="BB14">
        <f>SUMIFS(Table19[n],Table19[AIR2],"="&amp;BB$3,Table19[WY],"&gt;="&amp;$M14,Table19[WY],"&lt;="&amp;$L14)</f>
        <v>1</v>
      </c>
      <c r="BC14">
        <f>SUMIFS(Table19[n],Table19[AIR2],"="&amp;BC$3,Table19[WY],"&gt;="&amp;$M14,Table19[WY],"&lt;="&amp;$L14)</f>
        <v>1</v>
      </c>
      <c r="BD14">
        <f>SUMIFS(Table19[n],Table19[AIR2],"="&amp;BD$3,Table19[WY],"&gt;="&amp;$M14,Table19[WY],"&lt;="&amp;$L14)</f>
        <v>2</v>
      </c>
      <c r="BE14">
        <f>SUMIFS(Table19[n],Table19[AIR2],"="&amp;BE$3,Table19[WY],"&gt;="&amp;$M14,Table19[WY],"&lt;="&amp;$L14)</f>
        <v>2</v>
      </c>
      <c r="BF14">
        <f>SUMIFS(Table19[n],Table19[AIR2],"="&amp;BF$3,Table19[WY],"&gt;="&amp;$M14,Table19[WY],"&lt;="&amp;$L14)</f>
        <v>3</v>
      </c>
      <c r="BG14">
        <f>SUMIFS(Table19[n],Table19[AIR2],"="&amp;BG$3,Table19[WY],"&gt;="&amp;$M14,Table19[WY],"&lt;="&amp;$L14)</f>
        <v>0</v>
      </c>
    </row>
    <row r="15" spans="1:59">
      <c r="A15">
        <v>16</v>
      </c>
      <c r="B15">
        <v>202504</v>
      </c>
      <c r="C15" t="s">
        <v>271</v>
      </c>
      <c r="D15">
        <v>0</v>
      </c>
      <c r="E15">
        <v>4</v>
      </c>
      <c r="F15">
        <v>0</v>
      </c>
      <c r="G15">
        <v>0</v>
      </c>
      <c r="H15" t="s">
        <v>810</v>
      </c>
      <c r="I15">
        <v>4</v>
      </c>
      <c r="L15">
        <v>202523</v>
      </c>
      <c r="M15">
        <f t="shared" si="1"/>
        <v>202511</v>
      </c>
      <c r="N15">
        <f t="shared" si="2"/>
        <v>53</v>
      </c>
      <c r="O15">
        <f>SUMIFS(Table19[n],Table19[AIR2],"="&amp;O$3,Table19[WY],"&gt;="&amp;$M15,Table19[WY],"&lt;="&amp;$L15)</f>
        <v>0</v>
      </c>
      <c r="P15">
        <f>SUMIFS(Table19[n],Table19[AIR2],"="&amp;P$3,Table19[WY],"&gt;="&amp;$M15,Table19[WY],"&lt;="&amp;$L15)</f>
        <v>0</v>
      </c>
      <c r="Q15">
        <f>SUMIFS(Table19[n],Table19[AIR2],"="&amp;Q$3,Table19[WY],"&gt;="&amp;$M15,Table19[WY],"&lt;="&amp;$L15)</f>
        <v>0</v>
      </c>
      <c r="R15">
        <f>SUMIFS(Table19[n],Table19[AIR2],"="&amp;R$3,Table19[WY],"&gt;="&amp;$M15,Table19[WY],"&lt;="&amp;$L15)</f>
        <v>0</v>
      </c>
      <c r="S15">
        <f>SUMIFS(Table19[n],Table19[AIR2],"="&amp;S$3,Table19[WY],"&gt;="&amp;$M15,Table19[WY],"&lt;="&amp;$L15)</f>
        <v>4</v>
      </c>
      <c r="T15">
        <f>SUMIFS(Table19[n],Table19[AIR2],"="&amp;T$3,Table19[WY],"&gt;="&amp;$M15,Table19[WY],"&lt;="&amp;$L15)</f>
        <v>0</v>
      </c>
      <c r="U15">
        <f>SUMIFS(Table19[n],Table19[AIR2],"="&amp;U$3,Table19[WY],"&gt;="&amp;$M15,Table19[WY],"&lt;="&amp;$L15)</f>
        <v>0</v>
      </c>
      <c r="V15">
        <f>SUMIFS(Table19[n],Table19[AIR2],"="&amp;V$3,Table19[WY],"&gt;="&amp;$M15,Table19[WY],"&lt;="&amp;$L15)</f>
        <v>0</v>
      </c>
      <c r="W15">
        <f>SUMIFS(Table19[n],Table19[AIR2],"="&amp;W$3,Table19[WY],"&gt;="&amp;$M15,Table19[WY],"&lt;="&amp;$L15)</f>
        <v>0</v>
      </c>
      <c r="X15">
        <f>SUMIFS(Table19[n],Table19[AIR2],"="&amp;X$3,Table19[WY],"&gt;="&amp;$M15,Table19[WY],"&lt;="&amp;$L15)</f>
        <v>0</v>
      </c>
      <c r="Y15">
        <f>SUMIFS(Table19[n],Table19[AIR2],"="&amp;Y$3,Table19[WY],"&gt;="&amp;$M15,Table19[WY],"&lt;="&amp;$L15)</f>
        <v>5</v>
      </c>
      <c r="Z15">
        <f>SUMIFS(Table19[n],Table19[AIR2],"="&amp;Z$3,Table19[WY],"&gt;="&amp;$M15,Table19[WY],"&lt;="&amp;$L15)</f>
        <v>0</v>
      </c>
      <c r="AA15">
        <f>SUMIFS(Table19[n],Table19[AIR2],"="&amp;AA$3,Table19[WY],"&gt;="&amp;$M15,Table19[WY],"&lt;="&amp;$L15)</f>
        <v>0</v>
      </c>
      <c r="AB15">
        <f>SUMIFS(Table19[n],Table19[AIR2],"="&amp;AB$3,Table19[WY],"&gt;="&amp;$M15,Table19[WY],"&lt;="&amp;$L15)</f>
        <v>0</v>
      </c>
      <c r="AC15">
        <f>SUMIFS(Table19[n],Table19[AIR2],"="&amp;AC$3,Table19[WY],"&gt;="&amp;$M15,Table19[WY],"&lt;="&amp;$L15)</f>
        <v>0</v>
      </c>
      <c r="AD15">
        <f>SUMIFS(Table19[n],Table19[AIR2],"="&amp;AD$3,Table19[WY],"&gt;="&amp;$M15,Table19[WY],"&lt;="&amp;$L15)</f>
        <v>1</v>
      </c>
      <c r="AE15">
        <f>SUMIFS(Table19[n],Table19[AIR2],"="&amp;AE$3,Table19[WY],"&gt;="&amp;$M15,Table19[WY],"&lt;="&amp;$L15)</f>
        <v>0</v>
      </c>
      <c r="AF15">
        <f>SUMIFS(Table19[n],Table19[AIR2],"="&amp;AF$3,Table19[WY],"&gt;="&amp;$M15,Table19[WY],"&lt;="&amp;$L15)</f>
        <v>0</v>
      </c>
      <c r="AG15">
        <f>SUMIFS(Table19[n],Table19[AIR2],"="&amp;AG$3,Table19[WY],"&gt;="&amp;$M15,Table19[WY],"&lt;="&amp;$L15)</f>
        <v>0</v>
      </c>
      <c r="AH15">
        <f>SUMIFS(Table19[n],Table19[AIR2],"="&amp;AH$3,Table19[WY],"&gt;="&amp;$M15,Table19[WY],"&lt;="&amp;$L15)</f>
        <v>7</v>
      </c>
      <c r="AI15">
        <f>SUMIFS(Table19[n],Table19[AIR2],"="&amp;AI$3,Table19[WY],"&gt;="&amp;$M15,Table19[WY],"&lt;="&amp;$L15)</f>
        <v>1</v>
      </c>
      <c r="AJ15">
        <f>SUMIFS(Table19[n],Table19[AIR2],"="&amp;AJ$3,Table19[WY],"&gt;="&amp;$M15,Table19[WY],"&lt;="&amp;$L15)</f>
        <v>0</v>
      </c>
      <c r="AK15">
        <f>SUMIFS(Table19[n],Table19[AIR2],"="&amp;AK$3,Table19[WY],"&gt;="&amp;$M15,Table19[WY],"&lt;="&amp;$L15)</f>
        <v>1</v>
      </c>
      <c r="AL15">
        <f>SUMIFS(Table19[n],Table19[AIR2],"="&amp;AL$3,Table19[WY],"&gt;="&amp;$M15,Table19[WY],"&lt;="&amp;$L15)</f>
        <v>1</v>
      </c>
      <c r="AM15">
        <f>SUMIFS(Table19[n],Table19[AIR2],"="&amp;AM$3,Table19[WY],"&gt;="&amp;$M15,Table19[WY],"&lt;="&amp;$L15)</f>
        <v>1</v>
      </c>
      <c r="AN15">
        <f>SUMIFS(Table19[n],Table19[AIR2],"="&amp;AN$3,Table19[WY],"&gt;="&amp;$M15,Table19[WY],"&lt;="&amp;$L15)</f>
        <v>2</v>
      </c>
      <c r="AO15">
        <f>SUMIFS(Table19[n],Table19[AIR2],"="&amp;AO$3,Table19[WY],"&gt;="&amp;$M15,Table19[WY],"&lt;="&amp;$L15)</f>
        <v>1</v>
      </c>
      <c r="AP15">
        <f>SUMIFS(Table19[n],Table19[AIR2],"="&amp;AP$3,Table19[WY],"&gt;="&amp;$M15,Table19[WY],"&lt;="&amp;$L15)</f>
        <v>2</v>
      </c>
      <c r="AQ15">
        <f>SUMIFS(Table19[n],Table19[AIR2],"="&amp;AQ$3,Table19[WY],"&gt;="&amp;$M15,Table19[WY],"&lt;="&amp;$L15)</f>
        <v>2</v>
      </c>
      <c r="AR15">
        <f>SUMIFS(Table19[n],Table19[AIR2],"="&amp;AR$3,Table19[WY],"&gt;="&amp;$M15,Table19[WY],"&lt;="&amp;$L15)</f>
        <v>1</v>
      </c>
      <c r="AS15">
        <f>SUMIFS(Table19[n],Table19[AIR2],"="&amp;AS$3,Table19[WY],"&gt;="&amp;$M15,Table19[WY],"&lt;="&amp;$L15)</f>
        <v>1</v>
      </c>
      <c r="AT15">
        <f>SUMIFS(Table19[n],Table19[AIR2],"="&amp;AT$3,Table19[WY],"&gt;="&amp;$M15,Table19[WY],"&lt;="&amp;$L15)</f>
        <v>3</v>
      </c>
      <c r="AU15">
        <f>SUMIFS(Table19[n],Table19[AIR2],"="&amp;AU$3,Table19[WY],"&gt;="&amp;$M15,Table19[WY],"&lt;="&amp;$L15)</f>
        <v>1</v>
      </c>
      <c r="AV15">
        <f>SUMIFS(Table19[n],Table19[AIR2],"="&amp;AV$3,Table19[WY],"&gt;="&amp;$M15,Table19[WY],"&lt;="&amp;$L15)</f>
        <v>4</v>
      </c>
      <c r="AW15">
        <f>SUMIFS(Table19[n],Table19[AIR2],"="&amp;AW$3,Table19[WY],"&gt;="&amp;$M15,Table19[WY],"&lt;="&amp;$L15)</f>
        <v>1</v>
      </c>
      <c r="AX15">
        <f>SUMIFS(Table19[n],Table19[AIR2],"="&amp;AX$3,Table19[WY],"&gt;="&amp;$M15,Table19[WY],"&lt;="&amp;$L15)</f>
        <v>1</v>
      </c>
      <c r="AY15">
        <f>SUMIFS(Table19[n],Table19[AIR2],"="&amp;AY$3,Table19[WY],"&gt;="&amp;$M15,Table19[WY],"&lt;="&amp;$L15)</f>
        <v>1</v>
      </c>
      <c r="AZ15">
        <f>SUMIFS(Table19[n],Table19[AIR2],"="&amp;AZ$3,Table19[WY],"&gt;="&amp;$M15,Table19[WY],"&lt;="&amp;$L15)</f>
        <v>1</v>
      </c>
      <c r="BA15">
        <f>SUMIFS(Table19[n],Table19[AIR2],"="&amp;BA$3,Table19[WY],"&gt;="&amp;$M15,Table19[WY],"&lt;="&amp;$L15)</f>
        <v>1</v>
      </c>
      <c r="BB15">
        <f>SUMIFS(Table19[n],Table19[AIR2],"="&amp;BB$3,Table19[WY],"&gt;="&amp;$M15,Table19[WY],"&lt;="&amp;$L15)</f>
        <v>1</v>
      </c>
      <c r="BC15">
        <f>SUMIFS(Table19[n],Table19[AIR2],"="&amp;BC$3,Table19[WY],"&gt;="&amp;$M15,Table19[WY],"&lt;="&amp;$L15)</f>
        <v>1</v>
      </c>
      <c r="BD15">
        <f>SUMIFS(Table19[n],Table19[AIR2],"="&amp;BD$3,Table19[WY],"&gt;="&amp;$M15,Table19[WY],"&lt;="&amp;$L15)</f>
        <v>2</v>
      </c>
      <c r="BE15">
        <f>SUMIFS(Table19[n],Table19[AIR2],"="&amp;BE$3,Table19[WY],"&gt;="&amp;$M15,Table19[WY],"&lt;="&amp;$L15)</f>
        <v>2</v>
      </c>
      <c r="BF15">
        <f>SUMIFS(Table19[n],Table19[AIR2],"="&amp;BF$3,Table19[WY],"&gt;="&amp;$M15,Table19[WY],"&lt;="&amp;$L15)</f>
        <v>3</v>
      </c>
      <c r="BG15">
        <f>SUMIFS(Table19[n],Table19[AIR2],"="&amp;BG$3,Table19[WY],"&gt;="&amp;$M15,Table19[WY],"&lt;="&amp;$L15)</f>
        <v>1</v>
      </c>
    </row>
    <row r="16" spans="1:59">
      <c r="A16">
        <v>17</v>
      </c>
      <c r="B16">
        <v>202505</v>
      </c>
      <c r="C16">
        <v>53044425</v>
      </c>
      <c r="D16">
        <v>0</v>
      </c>
      <c r="E16">
        <v>1</v>
      </c>
      <c r="F16">
        <v>0</v>
      </c>
      <c r="G16">
        <v>1</v>
      </c>
      <c r="H16" t="s">
        <v>167</v>
      </c>
      <c r="I16">
        <v>1</v>
      </c>
      <c r="L16">
        <v>202524</v>
      </c>
      <c r="M16">
        <f t="shared" si="1"/>
        <v>202512</v>
      </c>
      <c r="N16">
        <f t="shared" si="2"/>
        <v>45</v>
      </c>
      <c r="O16">
        <f>SUMIFS(Table19[n],Table19[AIR2],"="&amp;O$3,Table19[WY],"&gt;="&amp;$M16,Table19[WY],"&lt;="&amp;$L16)</f>
        <v>0</v>
      </c>
      <c r="P16">
        <f>SUMIFS(Table19[n],Table19[AIR2],"="&amp;P$3,Table19[WY],"&gt;="&amp;$M16,Table19[WY],"&lt;="&amp;$L16)</f>
        <v>0</v>
      </c>
      <c r="Q16">
        <f>SUMIFS(Table19[n],Table19[AIR2],"="&amp;Q$3,Table19[WY],"&gt;="&amp;$M16,Table19[WY],"&lt;="&amp;$L16)</f>
        <v>0</v>
      </c>
      <c r="R16">
        <f>SUMIFS(Table19[n],Table19[AIR2],"="&amp;R$3,Table19[WY],"&gt;="&amp;$M16,Table19[WY],"&lt;="&amp;$L16)</f>
        <v>0</v>
      </c>
      <c r="S16">
        <f>SUMIFS(Table19[n],Table19[AIR2],"="&amp;S$3,Table19[WY],"&gt;="&amp;$M16,Table19[WY],"&lt;="&amp;$L16)</f>
        <v>1</v>
      </c>
      <c r="T16">
        <f>SUMIFS(Table19[n],Table19[AIR2],"="&amp;T$3,Table19[WY],"&gt;="&amp;$M16,Table19[WY],"&lt;="&amp;$L16)</f>
        <v>0</v>
      </c>
      <c r="U16">
        <f>SUMIFS(Table19[n],Table19[AIR2],"="&amp;U$3,Table19[WY],"&gt;="&amp;$M16,Table19[WY],"&lt;="&amp;$L16)</f>
        <v>0</v>
      </c>
      <c r="V16">
        <f>SUMIFS(Table19[n],Table19[AIR2],"="&amp;V$3,Table19[WY],"&gt;="&amp;$M16,Table19[WY],"&lt;="&amp;$L16)</f>
        <v>0</v>
      </c>
      <c r="W16">
        <f>SUMIFS(Table19[n],Table19[AIR2],"="&amp;W$3,Table19[WY],"&gt;="&amp;$M16,Table19[WY],"&lt;="&amp;$L16)</f>
        <v>0</v>
      </c>
      <c r="X16">
        <f>SUMIFS(Table19[n],Table19[AIR2],"="&amp;X$3,Table19[WY],"&gt;="&amp;$M16,Table19[WY],"&lt;="&amp;$L16)</f>
        <v>0</v>
      </c>
      <c r="Y16">
        <f>SUMIFS(Table19[n],Table19[AIR2],"="&amp;Y$3,Table19[WY],"&gt;="&amp;$M16,Table19[WY],"&lt;="&amp;$L16)</f>
        <v>4</v>
      </c>
      <c r="Z16">
        <f>SUMIFS(Table19[n],Table19[AIR2],"="&amp;Z$3,Table19[WY],"&gt;="&amp;$M16,Table19[WY],"&lt;="&amp;$L16)</f>
        <v>0</v>
      </c>
      <c r="AA16">
        <f>SUMIFS(Table19[n],Table19[AIR2],"="&amp;AA$3,Table19[WY],"&gt;="&amp;$M16,Table19[WY],"&lt;="&amp;$L16)</f>
        <v>0</v>
      </c>
      <c r="AB16">
        <f>SUMIFS(Table19[n],Table19[AIR2],"="&amp;AB$3,Table19[WY],"&gt;="&amp;$M16,Table19[WY],"&lt;="&amp;$L16)</f>
        <v>0</v>
      </c>
      <c r="AC16">
        <f>SUMIFS(Table19[n],Table19[AIR2],"="&amp;AC$3,Table19[WY],"&gt;="&amp;$M16,Table19[WY],"&lt;="&amp;$L16)</f>
        <v>0</v>
      </c>
      <c r="AD16">
        <f>SUMIFS(Table19[n],Table19[AIR2],"="&amp;AD$3,Table19[WY],"&gt;="&amp;$M16,Table19[WY],"&lt;="&amp;$L16)</f>
        <v>1</v>
      </c>
      <c r="AE16">
        <f>SUMIFS(Table19[n],Table19[AIR2],"="&amp;AE$3,Table19[WY],"&gt;="&amp;$M16,Table19[WY],"&lt;="&amp;$L16)</f>
        <v>0</v>
      </c>
      <c r="AF16">
        <f>SUMIFS(Table19[n],Table19[AIR2],"="&amp;AF$3,Table19[WY],"&gt;="&amp;$M16,Table19[WY],"&lt;="&amp;$L16)</f>
        <v>0</v>
      </c>
      <c r="AG16">
        <f>SUMIFS(Table19[n],Table19[AIR2],"="&amp;AG$3,Table19[WY],"&gt;="&amp;$M16,Table19[WY],"&lt;="&amp;$L16)</f>
        <v>0</v>
      </c>
      <c r="AH16">
        <f>SUMIFS(Table19[n],Table19[AIR2],"="&amp;AH$3,Table19[WY],"&gt;="&amp;$M16,Table19[WY],"&lt;="&amp;$L16)</f>
        <v>7</v>
      </c>
      <c r="AI16">
        <f>SUMIFS(Table19[n],Table19[AIR2],"="&amp;AI$3,Table19[WY],"&gt;="&amp;$M16,Table19[WY],"&lt;="&amp;$L16)</f>
        <v>1</v>
      </c>
      <c r="AJ16">
        <f>SUMIFS(Table19[n],Table19[AIR2],"="&amp;AJ$3,Table19[WY],"&gt;="&amp;$M16,Table19[WY],"&lt;="&amp;$L16)</f>
        <v>0</v>
      </c>
      <c r="AK16">
        <f>SUMIFS(Table19[n],Table19[AIR2],"="&amp;AK$3,Table19[WY],"&gt;="&amp;$M16,Table19[WY],"&lt;="&amp;$L16)</f>
        <v>0</v>
      </c>
      <c r="AL16">
        <f>SUMIFS(Table19[n],Table19[AIR2],"="&amp;AL$3,Table19[WY],"&gt;="&amp;$M16,Table19[WY],"&lt;="&amp;$L16)</f>
        <v>0</v>
      </c>
      <c r="AM16">
        <f>SUMIFS(Table19[n],Table19[AIR2],"="&amp;AM$3,Table19[WY],"&gt;="&amp;$M16,Table19[WY],"&lt;="&amp;$L16)</f>
        <v>0</v>
      </c>
      <c r="AN16">
        <f>SUMIFS(Table19[n],Table19[AIR2],"="&amp;AN$3,Table19[WY],"&gt;="&amp;$M16,Table19[WY],"&lt;="&amp;$L16)</f>
        <v>1</v>
      </c>
      <c r="AO16">
        <f>SUMIFS(Table19[n],Table19[AIR2],"="&amp;AO$3,Table19[WY],"&gt;="&amp;$M16,Table19[WY],"&lt;="&amp;$L16)</f>
        <v>1</v>
      </c>
      <c r="AP16">
        <f>SUMIFS(Table19[n],Table19[AIR2],"="&amp;AP$3,Table19[WY],"&gt;="&amp;$M16,Table19[WY],"&lt;="&amp;$L16)</f>
        <v>2</v>
      </c>
      <c r="AQ16">
        <f>SUMIFS(Table19[n],Table19[AIR2],"="&amp;AQ$3,Table19[WY],"&gt;="&amp;$M16,Table19[WY],"&lt;="&amp;$L16)</f>
        <v>2</v>
      </c>
      <c r="AR16">
        <f>SUMIFS(Table19[n],Table19[AIR2],"="&amp;AR$3,Table19[WY],"&gt;="&amp;$M16,Table19[WY],"&lt;="&amp;$L16)</f>
        <v>1</v>
      </c>
      <c r="AS16">
        <f>SUMIFS(Table19[n],Table19[AIR2],"="&amp;AS$3,Table19[WY],"&gt;="&amp;$M16,Table19[WY],"&lt;="&amp;$L16)</f>
        <v>1</v>
      </c>
      <c r="AT16">
        <f>SUMIFS(Table19[n],Table19[AIR2],"="&amp;AT$3,Table19[WY],"&gt;="&amp;$M16,Table19[WY],"&lt;="&amp;$L16)</f>
        <v>3</v>
      </c>
      <c r="AU16">
        <f>SUMIFS(Table19[n],Table19[AIR2],"="&amp;AU$3,Table19[WY],"&gt;="&amp;$M16,Table19[WY],"&lt;="&amp;$L16)</f>
        <v>1</v>
      </c>
      <c r="AV16">
        <f>SUMIFS(Table19[n],Table19[AIR2],"="&amp;AV$3,Table19[WY],"&gt;="&amp;$M16,Table19[WY],"&lt;="&amp;$L16)</f>
        <v>4</v>
      </c>
      <c r="AW16">
        <f>SUMIFS(Table19[n],Table19[AIR2],"="&amp;AW$3,Table19[WY],"&gt;="&amp;$M16,Table19[WY],"&lt;="&amp;$L16)</f>
        <v>1</v>
      </c>
      <c r="AX16">
        <f>SUMIFS(Table19[n],Table19[AIR2],"="&amp;AX$3,Table19[WY],"&gt;="&amp;$M16,Table19[WY],"&lt;="&amp;$L16)</f>
        <v>1</v>
      </c>
      <c r="AY16">
        <f>SUMIFS(Table19[n],Table19[AIR2],"="&amp;AY$3,Table19[WY],"&gt;="&amp;$M16,Table19[WY],"&lt;="&amp;$L16)</f>
        <v>1</v>
      </c>
      <c r="AZ16">
        <f>SUMIFS(Table19[n],Table19[AIR2],"="&amp;AZ$3,Table19[WY],"&gt;="&amp;$M16,Table19[WY],"&lt;="&amp;$L16)</f>
        <v>1</v>
      </c>
      <c r="BA16">
        <f>SUMIFS(Table19[n],Table19[AIR2],"="&amp;BA$3,Table19[WY],"&gt;="&amp;$M16,Table19[WY],"&lt;="&amp;$L16)</f>
        <v>1</v>
      </c>
      <c r="BB16">
        <f>SUMIFS(Table19[n],Table19[AIR2],"="&amp;BB$3,Table19[WY],"&gt;="&amp;$M16,Table19[WY],"&lt;="&amp;$L16)</f>
        <v>1</v>
      </c>
      <c r="BC16">
        <f>SUMIFS(Table19[n],Table19[AIR2],"="&amp;BC$3,Table19[WY],"&gt;="&amp;$M16,Table19[WY],"&lt;="&amp;$L16)</f>
        <v>1</v>
      </c>
      <c r="BD16">
        <f>SUMIFS(Table19[n],Table19[AIR2],"="&amp;BD$3,Table19[WY],"&gt;="&amp;$M16,Table19[WY],"&lt;="&amp;$L16)</f>
        <v>2</v>
      </c>
      <c r="BE16">
        <f>SUMIFS(Table19[n],Table19[AIR2],"="&amp;BE$3,Table19[WY],"&gt;="&amp;$M16,Table19[WY],"&lt;="&amp;$L16)</f>
        <v>2</v>
      </c>
      <c r="BF16">
        <f>SUMIFS(Table19[n],Table19[AIR2],"="&amp;BF$3,Table19[WY],"&gt;="&amp;$M16,Table19[WY],"&lt;="&amp;$L16)</f>
        <v>3</v>
      </c>
      <c r="BG16">
        <f>SUMIFS(Table19[n],Table19[AIR2],"="&amp;BG$3,Table19[WY],"&gt;="&amp;$M16,Table19[WY],"&lt;="&amp;$L16)</f>
        <v>1</v>
      </c>
    </row>
    <row r="17" spans="1:59">
      <c r="A17">
        <v>18</v>
      </c>
      <c r="B17">
        <v>202505</v>
      </c>
      <c r="C17">
        <v>53046271</v>
      </c>
      <c r="D17">
        <v>1</v>
      </c>
      <c r="E17">
        <v>0</v>
      </c>
      <c r="F17">
        <v>0</v>
      </c>
      <c r="G17">
        <v>0</v>
      </c>
      <c r="H17" t="s">
        <v>403</v>
      </c>
      <c r="I17">
        <v>1</v>
      </c>
      <c r="L17">
        <v>202525</v>
      </c>
      <c r="M17">
        <f t="shared" si="1"/>
        <v>202513</v>
      </c>
      <c r="N17">
        <f t="shared" si="2"/>
        <v>40</v>
      </c>
      <c r="O17">
        <f>SUMIFS(Table19[n],Table19[AIR2],"="&amp;O$3,Table19[WY],"&gt;="&amp;$M17,Table19[WY],"&lt;="&amp;$L17)</f>
        <v>0</v>
      </c>
      <c r="P17">
        <f>SUMIFS(Table19[n],Table19[AIR2],"="&amp;P$3,Table19[WY],"&gt;="&amp;$M17,Table19[WY],"&lt;="&amp;$L17)</f>
        <v>0</v>
      </c>
      <c r="Q17">
        <f>SUMIFS(Table19[n],Table19[AIR2],"="&amp;Q$3,Table19[WY],"&gt;="&amp;$M17,Table19[WY],"&lt;="&amp;$L17)</f>
        <v>0</v>
      </c>
      <c r="R17">
        <f>SUMIFS(Table19[n],Table19[AIR2],"="&amp;R$3,Table19[WY],"&gt;="&amp;$M17,Table19[WY],"&lt;="&amp;$L17)</f>
        <v>0</v>
      </c>
      <c r="S17">
        <f>SUMIFS(Table19[n],Table19[AIR2],"="&amp;S$3,Table19[WY],"&gt;="&amp;$M17,Table19[WY],"&lt;="&amp;$L17)</f>
        <v>1</v>
      </c>
      <c r="T17">
        <f>SUMIFS(Table19[n],Table19[AIR2],"="&amp;T$3,Table19[WY],"&gt;="&amp;$M17,Table19[WY],"&lt;="&amp;$L17)</f>
        <v>0</v>
      </c>
      <c r="U17">
        <f>SUMIFS(Table19[n],Table19[AIR2],"="&amp;U$3,Table19[WY],"&gt;="&amp;$M17,Table19[WY],"&lt;="&amp;$L17)</f>
        <v>0</v>
      </c>
      <c r="V17">
        <f>SUMIFS(Table19[n],Table19[AIR2],"="&amp;V$3,Table19[WY],"&gt;="&amp;$M17,Table19[WY],"&lt;="&amp;$L17)</f>
        <v>0</v>
      </c>
      <c r="W17">
        <f>SUMIFS(Table19[n],Table19[AIR2],"="&amp;W$3,Table19[WY],"&gt;="&amp;$M17,Table19[WY],"&lt;="&amp;$L17)</f>
        <v>0</v>
      </c>
      <c r="X17">
        <f>SUMIFS(Table19[n],Table19[AIR2],"="&amp;X$3,Table19[WY],"&gt;="&amp;$M17,Table19[WY],"&lt;="&amp;$L17)</f>
        <v>0</v>
      </c>
      <c r="Y17">
        <f>SUMIFS(Table19[n],Table19[AIR2],"="&amp;Y$3,Table19[WY],"&gt;="&amp;$M17,Table19[WY],"&lt;="&amp;$L17)</f>
        <v>4</v>
      </c>
      <c r="Z17">
        <f>SUMIFS(Table19[n],Table19[AIR2],"="&amp;Z$3,Table19[WY],"&gt;="&amp;$M17,Table19[WY],"&lt;="&amp;$L17)</f>
        <v>0</v>
      </c>
      <c r="AA17">
        <f>SUMIFS(Table19[n],Table19[AIR2],"="&amp;AA$3,Table19[WY],"&gt;="&amp;$M17,Table19[WY],"&lt;="&amp;$L17)</f>
        <v>0</v>
      </c>
      <c r="AB17">
        <f>SUMIFS(Table19[n],Table19[AIR2],"="&amp;AB$3,Table19[WY],"&gt;="&amp;$M17,Table19[WY],"&lt;="&amp;$L17)</f>
        <v>0</v>
      </c>
      <c r="AC17">
        <f>SUMIFS(Table19[n],Table19[AIR2],"="&amp;AC$3,Table19[WY],"&gt;="&amp;$M17,Table19[WY],"&lt;="&amp;$L17)</f>
        <v>0</v>
      </c>
      <c r="AD17">
        <f>SUMIFS(Table19[n],Table19[AIR2],"="&amp;AD$3,Table19[WY],"&gt;="&amp;$M17,Table19[WY],"&lt;="&amp;$L17)</f>
        <v>1</v>
      </c>
      <c r="AE17">
        <f>SUMIFS(Table19[n],Table19[AIR2],"="&amp;AE$3,Table19[WY],"&gt;="&amp;$M17,Table19[WY],"&lt;="&amp;$L17)</f>
        <v>0</v>
      </c>
      <c r="AF17">
        <f>SUMIFS(Table19[n],Table19[AIR2],"="&amp;AF$3,Table19[WY],"&gt;="&amp;$M17,Table19[WY],"&lt;="&amp;$L17)</f>
        <v>0</v>
      </c>
      <c r="AG17">
        <f>SUMIFS(Table19[n],Table19[AIR2],"="&amp;AG$3,Table19[WY],"&gt;="&amp;$M17,Table19[WY],"&lt;="&amp;$L17)</f>
        <v>0</v>
      </c>
      <c r="AH17">
        <f>SUMIFS(Table19[n],Table19[AIR2],"="&amp;AH$3,Table19[WY],"&gt;="&amp;$M17,Table19[WY],"&lt;="&amp;$L17)</f>
        <v>5</v>
      </c>
      <c r="AI17">
        <f>SUMIFS(Table19[n],Table19[AIR2],"="&amp;AI$3,Table19[WY],"&gt;="&amp;$M17,Table19[WY],"&lt;="&amp;$L17)</f>
        <v>1</v>
      </c>
      <c r="AJ17">
        <f>SUMIFS(Table19[n],Table19[AIR2],"="&amp;AJ$3,Table19[WY],"&gt;="&amp;$M17,Table19[WY],"&lt;="&amp;$L17)</f>
        <v>0</v>
      </c>
      <c r="AK17">
        <f>SUMIFS(Table19[n],Table19[AIR2],"="&amp;AK$3,Table19[WY],"&gt;="&amp;$M17,Table19[WY],"&lt;="&amp;$L17)</f>
        <v>0</v>
      </c>
      <c r="AL17">
        <f>SUMIFS(Table19[n],Table19[AIR2],"="&amp;AL$3,Table19[WY],"&gt;="&amp;$M17,Table19[WY],"&lt;="&amp;$L17)</f>
        <v>0</v>
      </c>
      <c r="AM17">
        <f>SUMIFS(Table19[n],Table19[AIR2],"="&amp;AM$3,Table19[WY],"&gt;="&amp;$M17,Table19[WY],"&lt;="&amp;$L17)</f>
        <v>0</v>
      </c>
      <c r="AN17">
        <f>SUMIFS(Table19[n],Table19[AIR2],"="&amp;AN$3,Table19[WY],"&gt;="&amp;$M17,Table19[WY],"&lt;="&amp;$L17)</f>
        <v>1</v>
      </c>
      <c r="AO17">
        <f>SUMIFS(Table19[n],Table19[AIR2],"="&amp;AO$3,Table19[WY],"&gt;="&amp;$M17,Table19[WY],"&lt;="&amp;$L17)</f>
        <v>0</v>
      </c>
      <c r="AP17">
        <f>SUMIFS(Table19[n],Table19[AIR2],"="&amp;AP$3,Table19[WY],"&gt;="&amp;$M17,Table19[WY],"&lt;="&amp;$L17)</f>
        <v>0</v>
      </c>
      <c r="AQ17">
        <f>SUMIFS(Table19[n],Table19[AIR2],"="&amp;AQ$3,Table19[WY],"&gt;="&amp;$M17,Table19[WY],"&lt;="&amp;$L17)</f>
        <v>2</v>
      </c>
      <c r="AR17">
        <f>SUMIFS(Table19[n],Table19[AIR2],"="&amp;AR$3,Table19[WY],"&gt;="&amp;$M17,Table19[WY],"&lt;="&amp;$L17)</f>
        <v>1</v>
      </c>
      <c r="AS17">
        <f>SUMIFS(Table19[n],Table19[AIR2],"="&amp;AS$3,Table19[WY],"&gt;="&amp;$M17,Table19[WY],"&lt;="&amp;$L17)</f>
        <v>1</v>
      </c>
      <c r="AT17">
        <f>SUMIFS(Table19[n],Table19[AIR2],"="&amp;AT$3,Table19[WY],"&gt;="&amp;$M17,Table19[WY],"&lt;="&amp;$L17)</f>
        <v>3</v>
      </c>
      <c r="AU17">
        <f>SUMIFS(Table19[n],Table19[AIR2],"="&amp;AU$3,Table19[WY],"&gt;="&amp;$M17,Table19[WY],"&lt;="&amp;$L17)</f>
        <v>1</v>
      </c>
      <c r="AV17">
        <f>SUMIFS(Table19[n],Table19[AIR2],"="&amp;AV$3,Table19[WY],"&gt;="&amp;$M17,Table19[WY],"&lt;="&amp;$L17)</f>
        <v>4</v>
      </c>
      <c r="AW17">
        <f>SUMIFS(Table19[n],Table19[AIR2],"="&amp;AW$3,Table19[WY],"&gt;="&amp;$M17,Table19[WY],"&lt;="&amp;$L17)</f>
        <v>1</v>
      </c>
      <c r="AX17">
        <f>SUMIFS(Table19[n],Table19[AIR2],"="&amp;AX$3,Table19[WY],"&gt;="&amp;$M17,Table19[WY],"&lt;="&amp;$L17)</f>
        <v>1</v>
      </c>
      <c r="AY17">
        <f>SUMIFS(Table19[n],Table19[AIR2],"="&amp;AY$3,Table19[WY],"&gt;="&amp;$M17,Table19[WY],"&lt;="&amp;$L17)</f>
        <v>1</v>
      </c>
      <c r="AZ17">
        <f>SUMIFS(Table19[n],Table19[AIR2],"="&amp;AZ$3,Table19[WY],"&gt;="&amp;$M17,Table19[WY],"&lt;="&amp;$L17)</f>
        <v>1</v>
      </c>
      <c r="BA17">
        <f>SUMIFS(Table19[n],Table19[AIR2],"="&amp;BA$3,Table19[WY],"&gt;="&amp;$M17,Table19[WY],"&lt;="&amp;$L17)</f>
        <v>1</v>
      </c>
      <c r="BB17">
        <f>SUMIFS(Table19[n],Table19[AIR2],"="&amp;BB$3,Table19[WY],"&gt;="&amp;$M17,Table19[WY],"&lt;="&amp;$L17)</f>
        <v>1</v>
      </c>
      <c r="BC17">
        <f>SUMIFS(Table19[n],Table19[AIR2],"="&amp;BC$3,Table19[WY],"&gt;="&amp;$M17,Table19[WY],"&lt;="&amp;$L17)</f>
        <v>1</v>
      </c>
      <c r="BD17">
        <f>SUMIFS(Table19[n],Table19[AIR2],"="&amp;BD$3,Table19[WY],"&gt;="&amp;$M17,Table19[WY],"&lt;="&amp;$L17)</f>
        <v>2</v>
      </c>
      <c r="BE17">
        <f>SUMIFS(Table19[n],Table19[AIR2],"="&amp;BE$3,Table19[WY],"&gt;="&amp;$M17,Table19[WY],"&lt;="&amp;$L17)</f>
        <v>2</v>
      </c>
      <c r="BF17">
        <f>SUMIFS(Table19[n],Table19[AIR2],"="&amp;BF$3,Table19[WY],"&gt;="&amp;$M17,Table19[WY],"&lt;="&amp;$L17)</f>
        <v>3</v>
      </c>
      <c r="BG17">
        <f>SUMIFS(Table19[n],Table19[AIR2],"="&amp;BG$3,Table19[WY],"&gt;="&amp;$M17,Table19[WY],"&lt;="&amp;$L17)</f>
        <v>1</v>
      </c>
    </row>
    <row r="18" spans="1:59">
      <c r="A18">
        <v>19</v>
      </c>
      <c r="B18">
        <v>202505</v>
      </c>
      <c r="C18">
        <v>53046894</v>
      </c>
      <c r="D18">
        <v>1</v>
      </c>
      <c r="E18">
        <v>0</v>
      </c>
      <c r="F18">
        <v>1</v>
      </c>
      <c r="G18">
        <v>0</v>
      </c>
      <c r="H18" t="s">
        <v>409</v>
      </c>
      <c r="I18">
        <v>1</v>
      </c>
      <c r="L18">
        <v>202526</v>
      </c>
      <c r="M18">
        <f t="shared" si="1"/>
        <v>202514</v>
      </c>
      <c r="N18">
        <f t="shared" si="2"/>
        <v>37</v>
      </c>
      <c r="O18">
        <f>SUMIFS(Table19[n],Table19[AIR2],"="&amp;O$3,Table19[WY],"&gt;="&amp;$M18,Table19[WY],"&lt;="&amp;$L18)</f>
        <v>0</v>
      </c>
      <c r="P18">
        <f>SUMIFS(Table19[n],Table19[AIR2],"="&amp;P$3,Table19[WY],"&gt;="&amp;$M18,Table19[WY],"&lt;="&amp;$L18)</f>
        <v>0</v>
      </c>
      <c r="Q18">
        <f>SUMIFS(Table19[n],Table19[AIR2],"="&amp;Q$3,Table19[WY],"&gt;="&amp;$M18,Table19[WY],"&lt;="&amp;$L18)</f>
        <v>0</v>
      </c>
      <c r="R18">
        <f>SUMIFS(Table19[n],Table19[AIR2],"="&amp;R$3,Table19[WY],"&gt;="&amp;$M18,Table19[WY],"&lt;="&amp;$L18)</f>
        <v>0</v>
      </c>
      <c r="S18">
        <f>SUMIFS(Table19[n],Table19[AIR2],"="&amp;S$3,Table19[WY],"&gt;="&amp;$M18,Table19[WY],"&lt;="&amp;$L18)</f>
        <v>1</v>
      </c>
      <c r="T18">
        <f>SUMIFS(Table19[n],Table19[AIR2],"="&amp;T$3,Table19[WY],"&gt;="&amp;$M18,Table19[WY],"&lt;="&amp;$L18)</f>
        <v>0</v>
      </c>
      <c r="U18">
        <f>SUMIFS(Table19[n],Table19[AIR2],"="&amp;U$3,Table19[WY],"&gt;="&amp;$M18,Table19[WY],"&lt;="&amp;$L18)</f>
        <v>0</v>
      </c>
      <c r="V18">
        <f>SUMIFS(Table19[n],Table19[AIR2],"="&amp;V$3,Table19[WY],"&gt;="&amp;$M18,Table19[WY],"&lt;="&amp;$L18)</f>
        <v>0</v>
      </c>
      <c r="W18">
        <f>SUMIFS(Table19[n],Table19[AIR2],"="&amp;W$3,Table19[WY],"&gt;="&amp;$M18,Table19[WY],"&lt;="&amp;$L18)</f>
        <v>0</v>
      </c>
      <c r="X18">
        <f>SUMIFS(Table19[n],Table19[AIR2],"="&amp;X$3,Table19[WY],"&gt;="&amp;$M18,Table19[WY],"&lt;="&amp;$L18)</f>
        <v>0</v>
      </c>
      <c r="Y18">
        <f>SUMIFS(Table19[n],Table19[AIR2],"="&amp;Y$3,Table19[WY],"&gt;="&amp;$M18,Table19[WY],"&lt;="&amp;$L18)</f>
        <v>4</v>
      </c>
      <c r="Z18">
        <f>SUMIFS(Table19[n],Table19[AIR2],"="&amp;Z$3,Table19[WY],"&gt;="&amp;$M18,Table19[WY],"&lt;="&amp;$L18)</f>
        <v>0</v>
      </c>
      <c r="AA18">
        <f>SUMIFS(Table19[n],Table19[AIR2],"="&amp;AA$3,Table19[WY],"&gt;="&amp;$M18,Table19[WY],"&lt;="&amp;$L18)</f>
        <v>0</v>
      </c>
      <c r="AB18">
        <f>SUMIFS(Table19[n],Table19[AIR2],"="&amp;AB$3,Table19[WY],"&gt;="&amp;$M18,Table19[WY],"&lt;="&amp;$L18)</f>
        <v>0</v>
      </c>
      <c r="AC18">
        <f>SUMIFS(Table19[n],Table19[AIR2],"="&amp;AC$3,Table19[WY],"&gt;="&amp;$M18,Table19[WY],"&lt;="&amp;$L18)</f>
        <v>0</v>
      </c>
      <c r="AD18">
        <f>SUMIFS(Table19[n],Table19[AIR2],"="&amp;AD$3,Table19[WY],"&gt;="&amp;$M18,Table19[WY],"&lt;="&amp;$L18)</f>
        <v>1</v>
      </c>
      <c r="AE18">
        <f>SUMIFS(Table19[n],Table19[AIR2],"="&amp;AE$3,Table19[WY],"&gt;="&amp;$M18,Table19[WY],"&lt;="&amp;$L18)</f>
        <v>0</v>
      </c>
      <c r="AF18">
        <f>SUMIFS(Table19[n],Table19[AIR2],"="&amp;AF$3,Table19[WY],"&gt;="&amp;$M18,Table19[WY],"&lt;="&amp;$L18)</f>
        <v>0</v>
      </c>
      <c r="AG18">
        <f>SUMIFS(Table19[n],Table19[AIR2],"="&amp;AG$3,Table19[WY],"&gt;="&amp;$M18,Table19[WY],"&lt;="&amp;$L18)</f>
        <v>0</v>
      </c>
      <c r="AH18">
        <f>SUMIFS(Table19[n],Table19[AIR2],"="&amp;AH$3,Table19[WY],"&gt;="&amp;$M18,Table19[WY],"&lt;="&amp;$L18)</f>
        <v>5</v>
      </c>
      <c r="AI18">
        <f>SUMIFS(Table19[n],Table19[AIR2],"="&amp;AI$3,Table19[WY],"&gt;="&amp;$M18,Table19[WY],"&lt;="&amp;$L18)</f>
        <v>1</v>
      </c>
      <c r="AJ18">
        <f>SUMIFS(Table19[n],Table19[AIR2],"="&amp;AJ$3,Table19[WY],"&gt;="&amp;$M18,Table19[WY],"&lt;="&amp;$L18)</f>
        <v>0</v>
      </c>
      <c r="AK18">
        <f>SUMIFS(Table19[n],Table19[AIR2],"="&amp;AK$3,Table19[WY],"&gt;="&amp;$M18,Table19[WY],"&lt;="&amp;$L18)</f>
        <v>0</v>
      </c>
      <c r="AL18">
        <f>SUMIFS(Table19[n],Table19[AIR2],"="&amp;AL$3,Table19[WY],"&gt;="&amp;$M18,Table19[WY],"&lt;="&amp;$L18)</f>
        <v>0</v>
      </c>
      <c r="AM18">
        <f>SUMIFS(Table19[n],Table19[AIR2],"="&amp;AM$3,Table19[WY],"&gt;="&amp;$M18,Table19[WY],"&lt;="&amp;$L18)</f>
        <v>0</v>
      </c>
      <c r="AN18">
        <f>SUMIFS(Table19[n],Table19[AIR2],"="&amp;AN$3,Table19[WY],"&gt;="&amp;$M18,Table19[WY],"&lt;="&amp;$L18)</f>
        <v>1</v>
      </c>
      <c r="AO18">
        <f>SUMIFS(Table19[n],Table19[AIR2],"="&amp;AO$3,Table19[WY],"&gt;="&amp;$M18,Table19[WY],"&lt;="&amp;$L18)</f>
        <v>0</v>
      </c>
      <c r="AP18">
        <f>SUMIFS(Table19[n],Table19[AIR2],"="&amp;AP$3,Table19[WY],"&gt;="&amp;$M18,Table19[WY],"&lt;="&amp;$L18)</f>
        <v>0</v>
      </c>
      <c r="AQ18">
        <f>SUMIFS(Table19[n],Table19[AIR2],"="&amp;AQ$3,Table19[WY],"&gt;="&amp;$M18,Table19[WY],"&lt;="&amp;$L18)</f>
        <v>1</v>
      </c>
      <c r="AR18">
        <f>SUMIFS(Table19[n],Table19[AIR2],"="&amp;AR$3,Table19[WY],"&gt;="&amp;$M18,Table19[WY],"&lt;="&amp;$L18)</f>
        <v>0</v>
      </c>
      <c r="AS18">
        <f>SUMIFS(Table19[n],Table19[AIR2],"="&amp;AS$3,Table19[WY],"&gt;="&amp;$M18,Table19[WY],"&lt;="&amp;$L18)</f>
        <v>0</v>
      </c>
      <c r="AT18">
        <f>SUMIFS(Table19[n],Table19[AIR2],"="&amp;AT$3,Table19[WY],"&gt;="&amp;$M18,Table19[WY],"&lt;="&amp;$L18)</f>
        <v>3</v>
      </c>
      <c r="AU18">
        <f>SUMIFS(Table19[n],Table19[AIR2],"="&amp;AU$3,Table19[WY],"&gt;="&amp;$M18,Table19[WY],"&lt;="&amp;$L18)</f>
        <v>1</v>
      </c>
      <c r="AV18">
        <f>SUMIFS(Table19[n],Table19[AIR2],"="&amp;AV$3,Table19[WY],"&gt;="&amp;$M18,Table19[WY],"&lt;="&amp;$L18)</f>
        <v>4</v>
      </c>
      <c r="AW18">
        <f>SUMIFS(Table19[n],Table19[AIR2],"="&amp;AW$3,Table19[WY],"&gt;="&amp;$M18,Table19[WY],"&lt;="&amp;$L18)</f>
        <v>1</v>
      </c>
      <c r="AX18">
        <f>SUMIFS(Table19[n],Table19[AIR2],"="&amp;AX$3,Table19[WY],"&gt;="&amp;$M18,Table19[WY],"&lt;="&amp;$L18)</f>
        <v>1</v>
      </c>
      <c r="AY18">
        <f>SUMIFS(Table19[n],Table19[AIR2],"="&amp;AY$3,Table19[WY],"&gt;="&amp;$M18,Table19[WY],"&lt;="&amp;$L18)</f>
        <v>1</v>
      </c>
      <c r="AZ18">
        <f>SUMIFS(Table19[n],Table19[AIR2],"="&amp;AZ$3,Table19[WY],"&gt;="&amp;$M18,Table19[WY],"&lt;="&amp;$L18)</f>
        <v>1</v>
      </c>
      <c r="BA18">
        <f>SUMIFS(Table19[n],Table19[AIR2],"="&amp;BA$3,Table19[WY],"&gt;="&amp;$M18,Table19[WY],"&lt;="&amp;$L18)</f>
        <v>1</v>
      </c>
      <c r="BB18">
        <f>SUMIFS(Table19[n],Table19[AIR2],"="&amp;BB$3,Table19[WY],"&gt;="&amp;$M18,Table19[WY],"&lt;="&amp;$L18)</f>
        <v>1</v>
      </c>
      <c r="BC18">
        <f>SUMIFS(Table19[n],Table19[AIR2],"="&amp;BC$3,Table19[WY],"&gt;="&amp;$M18,Table19[WY],"&lt;="&amp;$L18)</f>
        <v>1</v>
      </c>
      <c r="BD18">
        <f>SUMIFS(Table19[n],Table19[AIR2],"="&amp;BD$3,Table19[WY],"&gt;="&amp;$M18,Table19[WY],"&lt;="&amp;$L18)</f>
        <v>2</v>
      </c>
      <c r="BE18">
        <f>SUMIFS(Table19[n],Table19[AIR2],"="&amp;BE$3,Table19[WY],"&gt;="&amp;$M18,Table19[WY],"&lt;="&amp;$L18)</f>
        <v>2</v>
      </c>
      <c r="BF18">
        <f>SUMIFS(Table19[n],Table19[AIR2],"="&amp;BF$3,Table19[WY],"&gt;="&amp;$M18,Table19[WY],"&lt;="&amp;$L18)</f>
        <v>3</v>
      </c>
      <c r="BG18">
        <f>SUMIFS(Table19[n],Table19[AIR2],"="&amp;BG$3,Table19[WY],"&gt;="&amp;$M18,Table19[WY],"&lt;="&amp;$L18)</f>
        <v>1</v>
      </c>
    </row>
    <row r="19" spans="1:59">
      <c r="A19">
        <v>20</v>
      </c>
      <c r="B19">
        <v>202505</v>
      </c>
      <c r="C19" t="s">
        <v>384</v>
      </c>
      <c r="D19">
        <v>1</v>
      </c>
      <c r="E19">
        <v>0</v>
      </c>
      <c r="F19">
        <v>1</v>
      </c>
      <c r="G19">
        <v>0</v>
      </c>
      <c r="H19" t="s">
        <v>381</v>
      </c>
      <c r="I19">
        <v>1</v>
      </c>
      <c r="L19">
        <v>202527</v>
      </c>
      <c r="M19">
        <f t="shared" si="1"/>
        <v>202515</v>
      </c>
      <c r="N19">
        <f t="shared" si="2"/>
        <v>26</v>
      </c>
      <c r="O19">
        <f>SUMIFS(Table19[n],Table19[AIR2],"="&amp;O$3,Table19[WY],"&gt;="&amp;$M19,Table19[WY],"&lt;="&amp;$L19)</f>
        <v>0</v>
      </c>
      <c r="P19">
        <f>SUMIFS(Table19[n],Table19[AIR2],"="&amp;P$3,Table19[WY],"&gt;="&amp;$M19,Table19[WY],"&lt;="&amp;$L19)</f>
        <v>0</v>
      </c>
      <c r="Q19">
        <f>SUMIFS(Table19[n],Table19[AIR2],"="&amp;Q$3,Table19[WY],"&gt;="&amp;$M19,Table19[WY],"&lt;="&amp;$L19)</f>
        <v>0</v>
      </c>
      <c r="R19">
        <f>SUMIFS(Table19[n],Table19[AIR2],"="&amp;R$3,Table19[WY],"&gt;="&amp;$M19,Table19[WY],"&lt;="&amp;$L19)</f>
        <v>0</v>
      </c>
      <c r="S19">
        <f>SUMIFS(Table19[n],Table19[AIR2],"="&amp;S$3,Table19[WY],"&gt;="&amp;$M19,Table19[WY],"&lt;="&amp;$L19)</f>
        <v>1</v>
      </c>
      <c r="T19">
        <f>SUMIFS(Table19[n],Table19[AIR2],"="&amp;T$3,Table19[WY],"&gt;="&amp;$M19,Table19[WY],"&lt;="&amp;$L19)</f>
        <v>0</v>
      </c>
      <c r="U19">
        <f>SUMIFS(Table19[n],Table19[AIR2],"="&amp;U$3,Table19[WY],"&gt;="&amp;$M19,Table19[WY],"&lt;="&amp;$L19)</f>
        <v>0</v>
      </c>
      <c r="V19">
        <f>SUMIFS(Table19[n],Table19[AIR2],"="&amp;V$3,Table19[WY],"&gt;="&amp;$M19,Table19[WY],"&lt;="&amp;$L19)</f>
        <v>0</v>
      </c>
      <c r="W19">
        <f>SUMIFS(Table19[n],Table19[AIR2],"="&amp;W$3,Table19[WY],"&gt;="&amp;$M19,Table19[WY],"&lt;="&amp;$L19)</f>
        <v>0</v>
      </c>
      <c r="X19">
        <f>SUMIFS(Table19[n],Table19[AIR2],"="&amp;X$3,Table19[WY],"&gt;="&amp;$M19,Table19[WY],"&lt;="&amp;$L19)</f>
        <v>0</v>
      </c>
      <c r="Y19">
        <f>SUMIFS(Table19[n],Table19[AIR2],"="&amp;Y$3,Table19[WY],"&gt;="&amp;$M19,Table19[WY],"&lt;="&amp;$L19)</f>
        <v>4</v>
      </c>
      <c r="Z19">
        <f>SUMIFS(Table19[n],Table19[AIR2],"="&amp;Z$3,Table19[WY],"&gt;="&amp;$M19,Table19[WY],"&lt;="&amp;$L19)</f>
        <v>0</v>
      </c>
      <c r="AA19">
        <f>SUMIFS(Table19[n],Table19[AIR2],"="&amp;AA$3,Table19[WY],"&gt;="&amp;$M19,Table19[WY],"&lt;="&amp;$L19)</f>
        <v>0</v>
      </c>
      <c r="AB19">
        <f>SUMIFS(Table19[n],Table19[AIR2],"="&amp;AB$3,Table19[WY],"&gt;="&amp;$M19,Table19[WY],"&lt;="&amp;$L19)</f>
        <v>0</v>
      </c>
      <c r="AC19">
        <f>SUMIFS(Table19[n],Table19[AIR2],"="&amp;AC$3,Table19[WY],"&gt;="&amp;$M19,Table19[WY],"&lt;="&amp;$L19)</f>
        <v>0</v>
      </c>
      <c r="AD19">
        <f>SUMIFS(Table19[n],Table19[AIR2],"="&amp;AD$3,Table19[WY],"&gt;="&amp;$M19,Table19[WY],"&lt;="&amp;$L19)</f>
        <v>0</v>
      </c>
      <c r="AE19">
        <f>SUMIFS(Table19[n],Table19[AIR2],"="&amp;AE$3,Table19[WY],"&gt;="&amp;$M19,Table19[WY],"&lt;="&amp;$L19)</f>
        <v>0</v>
      </c>
      <c r="AF19">
        <f>SUMIFS(Table19[n],Table19[AIR2],"="&amp;AF$3,Table19[WY],"&gt;="&amp;$M19,Table19[WY],"&lt;="&amp;$L19)</f>
        <v>0</v>
      </c>
      <c r="AG19">
        <f>SUMIFS(Table19[n],Table19[AIR2],"="&amp;AG$3,Table19[WY],"&gt;="&amp;$M19,Table19[WY],"&lt;="&amp;$L19)</f>
        <v>0</v>
      </c>
      <c r="AH19">
        <f>SUMIFS(Table19[n],Table19[AIR2],"="&amp;AH$3,Table19[WY],"&gt;="&amp;$M19,Table19[WY],"&lt;="&amp;$L19)</f>
        <v>2</v>
      </c>
      <c r="AI19">
        <f>SUMIFS(Table19[n],Table19[AIR2],"="&amp;AI$3,Table19[WY],"&gt;="&amp;$M19,Table19[WY],"&lt;="&amp;$L19)</f>
        <v>0</v>
      </c>
      <c r="AJ19">
        <f>SUMIFS(Table19[n],Table19[AIR2],"="&amp;AJ$3,Table19[WY],"&gt;="&amp;$M19,Table19[WY],"&lt;="&amp;$L19)</f>
        <v>0</v>
      </c>
      <c r="AK19">
        <f>SUMIFS(Table19[n],Table19[AIR2],"="&amp;AK$3,Table19[WY],"&gt;="&amp;$M19,Table19[WY],"&lt;="&amp;$L19)</f>
        <v>0</v>
      </c>
      <c r="AL19">
        <f>SUMIFS(Table19[n],Table19[AIR2],"="&amp;AL$3,Table19[WY],"&gt;="&amp;$M19,Table19[WY],"&lt;="&amp;$L19)</f>
        <v>0</v>
      </c>
      <c r="AM19">
        <f>SUMIFS(Table19[n],Table19[AIR2],"="&amp;AM$3,Table19[WY],"&gt;="&amp;$M19,Table19[WY],"&lt;="&amp;$L19)</f>
        <v>0</v>
      </c>
      <c r="AN19">
        <f>SUMIFS(Table19[n],Table19[AIR2],"="&amp;AN$3,Table19[WY],"&gt;="&amp;$M19,Table19[WY],"&lt;="&amp;$L19)</f>
        <v>1</v>
      </c>
      <c r="AO19">
        <f>SUMIFS(Table19[n],Table19[AIR2],"="&amp;AO$3,Table19[WY],"&gt;="&amp;$M19,Table19[WY],"&lt;="&amp;$L19)</f>
        <v>0</v>
      </c>
      <c r="AP19">
        <f>SUMIFS(Table19[n],Table19[AIR2],"="&amp;AP$3,Table19[WY],"&gt;="&amp;$M19,Table19[WY],"&lt;="&amp;$L19)</f>
        <v>0</v>
      </c>
      <c r="AQ19">
        <f>SUMIFS(Table19[n],Table19[AIR2],"="&amp;AQ$3,Table19[WY],"&gt;="&amp;$M19,Table19[WY],"&lt;="&amp;$L19)</f>
        <v>1</v>
      </c>
      <c r="AR19">
        <f>SUMIFS(Table19[n],Table19[AIR2],"="&amp;AR$3,Table19[WY],"&gt;="&amp;$M19,Table19[WY],"&lt;="&amp;$L19)</f>
        <v>0</v>
      </c>
      <c r="AS19">
        <f>SUMIFS(Table19[n],Table19[AIR2],"="&amp;AS$3,Table19[WY],"&gt;="&amp;$M19,Table19[WY],"&lt;="&amp;$L19)</f>
        <v>0</v>
      </c>
      <c r="AT19">
        <f>SUMIFS(Table19[n],Table19[AIR2],"="&amp;AT$3,Table19[WY],"&gt;="&amp;$M19,Table19[WY],"&lt;="&amp;$L19)</f>
        <v>1</v>
      </c>
      <c r="AU19">
        <f>SUMIFS(Table19[n],Table19[AIR2],"="&amp;AU$3,Table19[WY],"&gt;="&amp;$M19,Table19[WY],"&lt;="&amp;$L19)</f>
        <v>0</v>
      </c>
      <c r="AV19">
        <f>SUMIFS(Table19[n],Table19[AIR2],"="&amp;AV$3,Table19[WY],"&gt;="&amp;$M19,Table19[WY],"&lt;="&amp;$L19)</f>
        <v>1</v>
      </c>
      <c r="AW19">
        <f>SUMIFS(Table19[n],Table19[AIR2],"="&amp;AW$3,Table19[WY],"&gt;="&amp;$M19,Table19[WY],"&lt;="&amp;$L19)</f>
        <v>1</v>
      </c>
      <c r="AX19">
        <f>SUMIFS(Table19[n],Table19[AIR2],"="&amp;AX$3,Table19[WY],"&gt;="&amp;$M19,Table19[WY],"&lt;="&amp;$L19)</f>
        <v>1</v>
      </c>
      <c r="AY19">
        <f>SUMIFS(Table19[n],Table19[AIR2],"="&amp;AY$3,Table19[WY],"&gt;="&amp;$M19,Table19[WY],"&lt;="&amp;$L19)</f>
        <v>1</v>
      </c>
      <c r="AZ19">
        <f>SUMIFS(Table19[n],Table19[AIR2],"="&amp;AZ$3,Table19[WY],"&gt;="&amp;$M19,Table19[WY],"&lt;="&amp;$L19)</f>
        <v>1</v>
      </c>
      <c r="BA19">
        <f>SUMIFS(Table19[n],Table19[AIR2],"="&amp;BA$3,Table19[WY],"&gt;="&amp;$M19,Table19[WY],"&lt;="&amp;$L19)</f>
        <v>1</v>
      </c>
      <c r="BB19">
        <f>SUMIFS(Table19[n],Table19[AIR2],"="&amp;BB$3,Table19[WY],"&gt;="&amp;$M19,Table19[WY],"&lt;="&amp;$L19)</f>
        <v>1</v>
      </c>
      <c r="BC19">
        <f>SUMIFS(Table19[n],Table19[AIR2],"="&amp;BC$3,Table19[WY],"&gt;="&amp;$M19,Table19[WY],"&lt;="&amp;$L19)</f>
        <v>1</v>
      </c>
      <c r="BD19">
        <f>SUMIFS(Table19[n],Table19[AIR2],"="&amp;BD$3,Table19[WY],"&gt;="&amp;$M19,Table19[WY],"&lt;="&amp;$L19)</f>
        <v>2</v>
      </c>
      <c r="BE19">
        <f>SUMIFS(Table19[n],Table19[AIR2],"="&amp;BE$3,Table19[WY],"&gt;="&amp;$M19,Table19[WY],"&lt;="&amp;$L19)</f>
        <v>2</v>
      </c>
      <c r="BF19">
        <f>SUMIFS(Table19[n],Table19[AIR2],"="&amp;BF$3,Table19[WY],"&gt;="&amp;$M19,Table19[WY],"&lt;="&amp;$L19)</f>
        <v>3</v>
      </c>
      <c r="BG19">
        <f>SUMIFS(Table19[n],Table19[AIR2],"="&amp;BG$3,Table19[WY],"&gt;="&amp;$M19,Table19[WY],"&lt;="&amp;$L19)</f>
        <v>1</v>
      </c>
    </row>
    <row r="20" spans="1:59">
      <c r="A20">
        <v>21</v>
      </c>
      <c r="B20">
        <v>202505</v>
      </c>
      <c r="C20" t="s">
        <v>402</v>
      </c>
      <c r="D20">
        <v>1</v>
      </c>
      <c r="E20">
        <v>0</v>
      </c>
      <c r="F20">
        <v>0</v>
      </c>
      <c r="G20">
        <v>0</v>
      </c>
      <c r="H20" t="s">
        <v>399</v>
      </c>
      <c r="I20">
        <v>1</v>
      </c>
      <c r="L20">
        <v>202528</v>
      </c>
      <c r="M20">
        <f t="shared" si="1"/>
        <v>202516</v>
      </c>
      <c r="N20">
        <f t="shared" si="2"/>
        <v>23</v>
      </c>
      <c r="O20">
        <f>SUMIFS(Table19[n],Table19[AIR2],"="&amp;O$3,Table19[WY],"&gt;="&amp;$M20,Table19[WY],"&lt;="&amp;$L20)</f>
        <v>0</v>
      </c>
      <c r="P20">
        <f>SUMIFS(Table19[n],Table19[AIR2],"="&amp;P$3,Table19[WY],"&gt;="&amp;$M20,Table19[WY],"&lt;="&amp;$L20)</f>
        <v>0</v>
      </c>
      <c r="Q20">
        <f>SUMIFS(Table19[n],Table19[AIR2],"="&amp;Q$3,Table19[WY],"&gt;="&amp;$M20,Table19[WY],"&lt;="&amp;$L20)</f>
        <v>0</v>
      </c>
      <c r="R20">
        <f>SUMIFS(Table19[n],Table19[AIR2],"="&amp;R$3,Table19[WY],"&gt;="&amp;$M20,Table19[WY],"&lt;="&amp;$L20)</f>
        <v>0</v>
      </c>
      <c r="S20">
        <f>SUMIFS(Table19[n],Table19[AIR2],"="&amp;S$3,Table19[WY],"&gt;="&amp;$M20,Table19[WY],"&lt;="&amp;$L20)</f>
        <v>1</v>
      </c>
      <c r="T20">
        <f>SUMIFS(Table19[n],Table19[AIR2],"="&amp;T$3,Table19[WY],"&gt;="&amp;$M20,Table19[WY],"&lt;="&amp;$L20)</f>
        <v>0</v>
      </c>
      <c r="U20">
        <f>SUMIFS(Table19[n],Table19[AIR2],"="&amp;U$3,Table19[WY],"&gt;="&amp;$M20,Table19[WY],"&lt;="&amp;$L20)</f>
        <v>0</v>
      </c>
      <c r="V20">
        <f>SUMIFS(Table19[n],Table19[AIR2],"="&amp;V$3,Table19[WY],"&gt;="&amp;$M20,Table19[WY],"&lt;="&amp;$L20)</f>
        <v>0</v>
      </c>
      <c r="W20">
        <f>SUMIFS(Table19[n],Table19[AIR2],"="&amp;W$3,Table19[WY],"&gt;="&amp;$M20,Table19[WY],"&lt;="&amp;$L20)</f>
        <v>0</v>
      </c>
      <c r="X20">
        <f>SUMIFS(Table19[n],Table19[AIR2],"="&amp;X$3,Table19[WY],"&gt;="&amp;$M20,Table19[WY],"&lt;="&amp;$L20)</f>
        <v>0</v>
      </c>
      <c r="Y20">
        <f>SUMIFS(Table19[n],Table19[AIR2],"="&amp;Y$3,Table19[WY],"&gt;="&amp;$M20,Table19[WY],"&lt;="&amp;$L20)</f>
        <v>4</v>
      </c>
      <c r="Z20">
        <f>SUMIFS(Table19[n],Table19[AIR2],"="&amp;Z$3,Table19[WY],"&gt;="&amp;$M20,Table19[WY],"&lt;="&amp;$L20)</f>
        <v>0</v>
      </c>
      <c r="AA20">
        <f>SUMIFS(Table19[n],Table19[AIR2],"="&amp;AA$3,Table19[WY],"&gt;="&amp;$M20,Table19[WY],"&lt;="&amp;$L20)</f>
        <v>0</v>
      </c>
      <c r="AB20">
        <f>SUMIFS(Table19[n],Table19[AIR2],"="&amp;AB$3,Table19[WY],"&gt;="&amp;$M20,Table19[WY],"&lt;="&amp;$L20)</f>
        <v>0</v>
      </c>
      <c r="AC20">
        <f>SUMIFS(Table19[n],Table19[AIR2],"="&amp;AC$3,Table19[WY],"&gt;="&amp;$M20,Table19[WY],"&lt;="&amp;$L20)</f>
        <v>0</v>
      </c>
      <c r="AD20">
        <f>SUMIFS(Table19[n],Table19[AIR2],"="&amp;AD$3,Table19[WY],"&gt;="&amp;$M20,Table19[WY],"&lt;="&amp;$L20)</f>
        <v>0</v>
      </c>
      <c r="AE20">
        <f>SUMIFS(Table19[n],Table19[AIR2],"="&amp;AE$3,Table19[WY],"&gt;="&amp;$M20,Table19[WY],"&lt;="&amp;$L20)</f>
        <v>0</v>
      </c>
      <c r="AF20">
        <f>SUMIFS(Table19[n],Table19[AIR2],"="&amp;AF$3,Table19[WY],"&gt;="&amp;$M20,Table19[WY],"&lt;="&amp;$L20)</f>
        <v>0</v>
      </c>
      <c r="AG20">
        <f>SUMIFS(Table19[n],Table19[AIR2],"="&amp;AG$3,Table19[WY],"&gt;="&amp;$M20,Table19[WY],"&lt;="&amp;$L20)</f>
        <v>0</v>
      </c>
      <c r="AH20">
        <f>SUMIFS(Table19[n],Table19[AIR2],"="&amp;AH$3,Table19[WY],"&gt;="&amp;$M20,Table19[WY],"&lt;="&amp;$L20)</f>
        <v>2</v>
      </c>
      <c r="AI20">
        <f>SUMIFS(Table19[n],Table19[AIR2],"="&amp;AI$3,Table19[WY],"&gt;="&amp;$M20,Table19[WY],"&lt;="&amp;$L20)</f>
        <v>0</v>
      </c>
      <c r="AJ20">
        <f>SUMIFS(Table19[n],Table19[AIR2],"="&amp;AJ$3,Table19[WY],"&gt;="&amp;$M20,Table19[WY],"&lt;="&amp;$L20)</f>
        <v>0</v>
      </c>
      <c r="AK20">
        <f>SUMIFS(Table19[n],Table19[AIR2],"="&amp;AK$3,Table19[WY],"&gt;="&amp;$M20,Table19[WY],"&lt;="&amp;$L20)</f>
        <v>0</v>
      </c>
      <c r="AL20">
        <f>SUMIFS(Table19[n],Table19[AIR2],"="&amp;AL$3,Table19[WY],"&gt;="&amp;$M20,Table19[WY],"&lt;="&amp;$L20)</f>
        <v>0</v>
      </c>
      <c r="AM20">
        <f>SUMIFS(Table19[n],Table19[AIR2],"="&amp;AM$3,Table19[WY],"&gt;="&amp;$M20,Table19[WY],"&lt;="&amp;$L20)</f>
        <v>0</v>
      </c>
      <c r="AN20">
        <f>SUMIFS(Table19[n],Table19[AIR2],"="&amp;AN$3,Table19[WY],"&gt;="&amp;$M20,Table19[WY],"&lt;="&amp;$L20)</f>
        <v>1</v>
      </c>
      <c r="AO20">
        <f>SUMIFS(Table19[n],Table19[AIR2],"="&amp;AO$3,Table19[WY],"&gt;="&amp;$M20,Table19[WY],"&lt;="&amp;$L20)</f>
        <v>0</v>
      </c>
      <c r="AP20">
        <f>SUMIFS(Table19[n],Table19[AIR2],"="&amp;AP$3,Table19[WY],"&gt;="&amp;$M20,Table19[WY],"&lt;="&amp;$L20)</f>
        <v>0</v>
      </c>
      <c r="AQ20">
        <f>SUMIFS(Table19[n],Table19[AIR2],"="&amp;AQ$3,Table19[WY],"&gt;="&amp;$M20,Table19[WY],"&lt;="&amp;$L20)</f>
        <v>1</v>
      </c>
      <c r="AR20">
        <f>SUMIFS(Table19[n],Table19[AIR2],"="&amp;AR$3,Table19[WY],"&gt;="&amp;$M20,Table19[WY],"&lt;="&amp;$L20)</f>
        <v>0</v>
      </c>
      <c r="AS20">
        <f>SUMIFS(Table19[n],Table19[AIR2],"="&amp;AS$3,Table19[WY],"&gt;="&amp;$M20,Table19[WY],"&lt;="&amp;$L20)</f>
        <v>0</v>
      </c>
      <c r="AT20">
        <f>SUMIFS(Table19[n],Table19[AIR2],"="&amp;AT$3,Table19[WY],"&gt;="&amp;$M20,Table19[WY],"&lt;="&amp;$L20)</f>
        <v>0</v>
      </c>
      <c r="AU20">
        <f>SUMIFS(Table19[n],Table19[AIR2],"="&amp;AU$3,Table19[WY],"&gt;="&amp;$M20,Table19[WY],"&lt;="&amp;$L20)</f>
        <v>0</v>
      </c>
      <c r="AV20">
        <f>SUMIFS(Table19[n],Table19[AIR2],"="&amp;AV$3,Table19[WY],"&gt;="&amp;$M20,Table19[WY],"&lt;="&amp;$L20)</f>
        <v>0</v>
      </c>
      <c r="AW20">
        <f>SUMIFS(Table19[n],Table19[AIR2],"="&amp;AW$3,Table19[WY],"&gt;="&amp;$M20,Table19[WY],"&lt;="&amp;$L20)</f>
        <v>0</v>
      </c>
      <c r="AX20">
        <f>SUMIFS(Table19[n],Table19[AIR2],"="&amp;AX$3,Table19[WY],"&gt;="&amp;$M20,Table19[WY],"&lt;="&amp;$L20)</f>
        <v>1</v>
      </c>
      <c r="AY20">
        <f>SUMIFS(Table19[n],Table19[AIR2],"="&amp;AY$3,Table19[WY],"&gt;="&amp;$M20,Table19[WY],"&lt;="&amp;$L20)</f>
        <v>1</v>
      </c>
      <c r="AZ20">
        <f>SUMIFS(Table19[n],Table19[AIR2],"="&amp;AZ$3,Table19[WY],"&gt;="&amp;$M20,Table19[WY],"&lt;="&amp;$L20)</f>
        <v>1</v>
      </c>
      <c r="BA20">
        <f>SUMIFS(Table19[n],Table19[AIR2],"="&amp;BA$3,Table19[WY],"&gt;="&amp;$M20,Table19[WY],"&lt;="&amp;$L20)</f>
        <v>1</v>
      </c>
      <c r="BB20">
        <f>SUMIFS(Table19[n],Table19[AIR2],"="&amp;BB$3,Table19[WY],"&gt;="&amp;$M20,Table19[WY],"&lt;="&amp;$L20)</f>
        <v>1</v>
      </c>
      <c r="BC20">
        <f>SUMIFS(Table19[n],Table19[AIR2],"="&amp;BC$3,Table19[WY],"&gt;="&amp;$M20,Table19[WY],"&lt;="&amp;$L20)</f>
        <v>1</v>
      </c>
      <c r="BD20">
        <f>SUMIFS(Table19[n],Table19[AIR2],"="&amp;BD$3,Table19[WY],"&gt;="&amp;$M20,Table19[WY],"&lt;="&amp;$L20)</f>
        <v>2</v>
      </c>
      <c r="BE20">
        <f>SUMIFS(Table19[n],Table19[AIR2],"="&amp;BE$3,Table19[WY],"&gt;="&amp;$M20,Table19[WY],"&lt;="&amp;$L20)</f>
        <v>2</v>
      </c>
      <c r="BF20">
        <f>SUMIFS(Table19[n],Table19[AIR2],"="&amp;BF$3,Table19[WY],"&gt;="&amp;$M20,Table19[WY],"&lt;="&amp;$L20)</f>
        <v>3</v>
      </c>
      <c r="BG20">
        <f>SUMIFS(Table19[n],Table19[AIR2],"="&amp;BG$3,Table19[WY],"&gt;="&amp;$M20,Table19[WY],"&lt;="&amp;$L20)</f>
        <v>1</v>
      </c>
    </row>
    <row r="21" spans="1:59">
      <c r="A21">
        <v>22</v>
      </c>
      <c r="B21">
        <v>202505</v>
      </c>
      <c r="C21" t="s">
        <v>397</v>
      </c>
      <c r="D21">
        <v>0</v>
      </c>
      <c r="E21">
        <v>1</v>
      </c>
      <c r="F21">
        <v>0</v>
      </c>
      <c r="G21">
        <v>1</v>
      </c>
      <c r="H21" t="s">
        <v>394</v>
      </c>
      <c r="I21">
        <v>1</v>
      </c>
      <c r="L21">
        <v>202529</v>
      </c>
      <c r="M21">
        <f t="shared" si="1"/>
        <v>202517</v>
      </c>
      <c r="N21">
        <f t="shared" si="2"/>
        <v>20</v>
      </c>
      <c r="O21">
        <f>SUMIFS(Table19[n],Table19[AIR2],"="&amp;O$3,Table19[WY],"&gt;="&amp;$M21,Table19[WY],"&lt;="&amp;$L21)</f>
        <v>0</v>
      </c>
      <c r="P21">
        <f>SUMIFS(Table19[n],Table19[AIR2],"="&amp;P$3,Table19[WY],"&gt;="&amp;$M21,Table19[WY],"&lt;="&amp;$L21)</f>
        <v>0</v>
      </c>
      <c r="Q21">
        <f>SUMIFS(Table19[n],Table19[AIR2],"="&amp;Q$3,Table19[WY],"&gt;="&amp;$M21,Table19[WY],"&lt;="&amp;$L21)</f>
        <v>0</v>
      </c>
      <c r="R21">
        <f>SUMIFS(Table19[n],Table19[AIR2],"="&amp;R$3,Table19[WY],"&gt;="&amp;$M21,Table19[WY],"&lt;="&amp;$L21)</f>
        <v>0</v>
      </c>
      <c r="S21">
        <f>SUMIFS(Table19[n],Table19[AIR2],"="&amp;S$3,Table19[WY],"&gt;="&amp;$M21,Table19[WY],"&lt;="&amp;$L21)</f>
        <v>1</v>
      </c>
      <c r="T21">
        <f>SUMIFS(Table19[n],Table19[AIR2],"="&amp;T$3,Table19[WY],"&gt;="&amp;$M21,Table19[WY],"&lt;="&amp;$L21)</f>
        <v>0</v>
      </c>
      <c r="U21">
        <f>SUMIFS(Table19[n],Table19[AIR2],"="&amp;U$3,Table19[WY],"&gt;="&amp;$M21,Table19[WY],"&lt;="&amp;$L21)</f>
        <v>0</v>
      </c>
      <c r="V21">
        <f>SUMIFS(Table19[n],Table19[AIR2],"="&amp;V$3,Table19[WY],"&gt;="&amp;$M21,Table19[WY],"&lt;="&amp;$L21)</f>
        <v>0</v>
      </c>
      <c r="W21">
        <f>SUMIFS(Table19[n],Table19[AIR2],"="&amp;W$3,Table19[WY],"&gt;="&amp;$M21,Table19[WY],"&lt;="&amp;$L21)</f>
        <v>0</v>
      </c>
      <c r="X21">
        <f>SUMIFS(Table19[n],Table19[AIR2],"="&amp;X$3,Table19[WY],"&gt;="&amp;$M21,Table19[WY],"&lt;="&amp;$L21)</f>
        <v>0</v>
      </c>
      <c r="Y21">
        <f>SUMIFS(Table19[n],Table19[AIR2],"="&amp;Y$3,Table19[WY],"&gt;="&amp;$M21,Table19[WY],"&lt;="&amp;$L21)</f>
        <v>3</v>
      </c>
      <c r="Z21">
        <f>SUMIFS(Table19[n],Table19[AIR2],"="&amp;Z$3,Table19[WY],"&gt;="&amp;$M21,Table19[WY],"&lt;="&amp;$L21)</f>
        <v>0</v>
      </c>
      <c r="AA21">
        <f>SUMIFS(Table19[n],Table19[AIR2],"="&amp;AA$3,Table19[WY],"&gt;="&amp;$M21,Table19[WY],"&lt;="&amp;$L21)</f>
        <v>0</v>
      </c>
      <c r="AB21">
        <f>SUMIFS(Table19[n],Table19[AIR2],"="&amp;AB$3,Table19[WY],"&gt;="&amp;$M21,Table19[WY],"&lt;="&amp;$L21)</f>
        <v>0</v>
      </c>
      <c r="AC21">
        <f>SUMIFS(Table19[n],Table19[AIR2],"="&amp;AC$3,Table19[WY],"&gt;="&amp;$M21,Table19[WY],"&lt;="&amp;$L21)</f>
        <v>0</v>
      </c>
      <c r="AD21">
        <f>SUMIFS(Table19[n],Table19[AIR2],"="&amp;AD$3,Table19[WY],"&gt;="&amp;$M21,Table19[WY],"&lt;="&amp;$L21)</f>
        <v>0</v>
      </c>
      <c r="AE21">
        <f>SUMIFS(Table19[n],Table19[AIR2],"="&amp;AE$3,Table19[WY],"&gt;="&amp;$M21,Table19[WY],"&lt;="&amp;$L21)</f>
        <v>0</v>
      </c>
      <c r="AF21">
        <f>SUMIFS(Table19[n],Table19[AIR2],"="&amp;AF$3,Table19[WY],"&gt;="&amp;$M21,Table19[WY],"&lt;="&amp;$L21)</f>
        <v>0</v>
      </c>
      <c r="AG21">
        <f>SUMIFS(Table19[n],Table19[AIR2],"="&amp;AG$3,Table19[WY],"&gt;="&amp;$M21,Table19[WY],"&lt;="&amp;$L21)</f>
        <v>0</v>
      </c>
      <c r="AH21">
        <f>SUMIFS(Table19[n],Table19[AIR2],"="&amp;AH$3,Table19[WY],"&gt;="&amp;$M21,Table19[WY],"&lt;="&amp;$L21)</f>
        <v>2</v>
      </c>
      <c r="AI21">
        <f>SUMIFS(Table19[n],Table19[AIR2],"="&amp;AI$3,Table19[WY],"&gt;="&amp;$M21,Table19[WY],"&lt;="&amp;$L21)</f>
        <v>0</v>
      </c>
      <c r="AJ21">
        <f>SUMIFS(Table19[n],Table19[AIR2],"="&amp;AJ$3,Table19[WY],"&gt;="&amp;$M21,Table19[WY],"&lt;="&amp;$L21)</f>
        <v>0</v>
      </c>
      <c r="AK21">
        <f>SUMIFS(Table19[n],Table19[AIR2],"="&amp;AK$3,Table19[WY],"&gt;="&amp;$M21,Table19[WY],"&lt;="&amp;$L21)</f>
        <v>0</v>
      </c>
      <c r="AL21">
        <f>SUMIFS(Table19[n],Table19[AIR2],"="&amp;AL$3,Table19[WY],"&gt;="&amp;$M21,Table19[WY],"&lt;="&amp;$L21)</f>
        <v>0</v>
      </c>
      <c r="AM21">
        <f>SUMIFS(Table19[n],Table19[AIR2],"="&amp;AM$3,Table19[WY],"&gt;="&amp;$M21,Table19[WY],"&lt;="&amp;$L21)</f>
        <v>0</v>
      </c>
      <c r="AN21">
        <f>SUMIFS(Table19[n],Table19[AIR2],"="&amp;AN$3,Table19[WY],"&gt;="&amp;$M21,Table19[WY],"&lt;="&amp;$L21)</f>
        <v>1</v>
      </c>
      <c r="AO21">
        <f>SUMIFS(Table19[n],Table19[AIR2],"="&amp;AO$3,Table19[WY],"&gt;="&amp;$M21,Table19[WY],"&lt;="&amp;$L21)</f>
        <v>0</v>
      </c>
      <c r="AP21">
        <f>SUMIFS(Table19[n],Table19[AIR2],"="&amp;AP$3,Table19[WY],"&gt;="&amp;$M21,Table19[WY],"&lt;="&amp;$L21)</f>
        <v>0</v>
      </c>
      <c r="AQ21">
        <f>SUMIFS(Table19[n],Table19[AIR2],"="&amp;AQ$3,Table19[WY],"&gt;="&amp;$M21,Table19[WY],"&lt;="&amp;$L21)</f>
        <v>1</v>
      </c>
      <c r="AR21">
        <f>SUMIFS(Table19[n],Table19[AIR2],"="&amp;AR$3,Table19[WY],"&gt;="&amp;$M21,Table19[WY],"&lt;="&amp;$L21)</f>
        <v>0</v>
      </c>
      <c r="AS21">
        <f>SUMIFS(Table19[n],Table19[AIR2],"="&amp;AS$3,Table19[WY],"&gt;="&amp;$M21,Table19[WY],"&lt;="&amp;$L21)</f>
        <v>0</v>
      </c>
      <c r="AT21">
        <f>SUMIFS(Table19[n],Table19[AIR2],"="&amp;AT$3,Table19[WY],"&gt;="&amp;$M21,Table19[WY],"&lt;="&amp;$L21)</f>
        <v>0</v>
      </c>
      <c r="AU21">
        <f>SUMIFS(Table19[n],Table19[AIR2],"="&amp;AU$3,Table19[WY],"&gt;="&amp;$M21,Table19[WY],"&lt;="&amp;$L21)</f>
        <v>0</v>
      </c>
      <c r="AV21">
        <f>SUMIFS(Table19[n],Table19[AIR2],"="&amp;AV$3,Table19[WY],"&gt;="&amp;$M21,Table19[WY],"&lt;="&amp;$L21)</f>
        <v>0</v>
      </c>
      <c r="AW21">
        <f>SUMIFS(Table19[n],Table19[AIR2],"="&amp;AW$3,Table19[WY],"&gt;="&amp;$M21,Table19[WY],"&lt;="&amp;$L21)</f>
        <v>0</v>
      </c>
      <c r="AX21">
        <f>SUMIFS(Table19[n],Table19[AIR2],"="&amp;AX$3,Table19[WY],"&gt;="&amp;$M21,Table19[WY],"&lt;="&amp;$L21)</f>
        <v>0</v>
      </c>
      <c r="AY21">
        <f>SUMIFS(Table19[n],Table19[AIR2],"="&amp;AY$3,Table19[WY],"&gt;="&amp;$M21,Table19[WY],"&lt;="&amp;$L21)</f>
        <v>0</v>
      </c>
      <c r="AZ21">
        <f>SUMIFS(Table19[n],Table19[AIR2],"="&amp;AZ$3,Table19[WY],"&gt;="&amp;$M21,Table19[WY],"&lt;="&amp;$L21)</f>
        <v>1</v>
      </c>
      <c r="BA21">
        <f>SUMIFS(Table19[n],Table19[AIR2],"="&amp;BA$3,Table19[WY],"&gt;="&amp;$M21,Table19[WY],"&lt;="&amp;$L21)</f>
        <v>1</v>
      </c>
      <c r="BB21">
        <f>SUMIFS(Table19[n],Table19[AIR2],"="&amp;BB$3,Table19[WY],"&gt;="&amp;$M21,Table19[WY],"&lt;="&amp;$L21)</f>
        <v>1</v>
      </c>
      <c r="BC21">
        <f>SUMIFS(Table19[n],Table19[AIR2],"="&amp;BC$3,Table19[WY],"&gt;="&amp;$M21,Table19[WY],"&lt;="&amp;$L21)</f>
        <v>1</v>
      </c>
      <c r="BD21">
        <f>SUMIFS(Table19[n],Table19[AIR2],"="&amp;BD$3,Table19[WY],"&gt;="&amp;$M21,Table19[WY],"&lt;="&amp;$L21)</f>
        <v>2</v>
      </c>
      <c r="BE21">
        <f>SUMIFS(Table19[n],Table19[AIR2],"="&amp;BE$3,Table19[WY],"&gt;="&amp;$M21,Table19[WY],"&lt;="&amp;$L21)</f>
        <v>2</v>
      </c>
      <c r="BF21">
        <f>SUMIFS(Table19[n],Table19[AIR2],"="&amp;BF$3,Table19[WY],"&gt;="&amp;$M21,Table19[WY],"&lt;="&amp;$L21)</f>
        <v>3</v>
      </c>
      <c r="BG21">
        <f>SUMIFS(Table19[n],Table19[AIR2],"="&amp;BG$3,Table19[WY],"&gt;="&amp;$M21,Table19[WY],"&lt;="&amp;$L21)</f>
        <v>1</v>
      </c>
    </row>
    <row r="22" spans="1:59">
      <c r="A22">
        <v>23</v>
      </c>
      <c r="B22">
        <v>202505</v>
      </c>
      <c r="C22" t="s">
        <v>366</v>
      </c>
      <c r="D22">
        <v>1</v>
      </c>
      <c r="E22">
        <v>0</v>
      </c>
      <c r="F22">
        <v>0</v>
      </c>
      <c r="G22">
        <v>0</v>
      </c>
      <c r="H22" t="s">
        <v>363</v>
      </c>
      <c r="I22">
        <v>1</v>
      </c>
      <c r="L22">
        <v>202530</v>
      </c>
      <c r="M22">
        <f t="shared" si="1"/>
        <v>202518</v>
      </c>
      <c r="N22">
        <f t="shared" si="2"/>
        <v>17</v>
      </c>
      <c r="O22">
        <f>SUMIFS(Table19[n],Table19[AIR2],"="&amp;O$3,Table19[WY],"&gt;="&amp;$M22,Table19[WY],"&lt;="&amp;$L22)</f>
        <v>0</v>
      </c>
      <c r="P22">
        <f>SUMIFS(Table19[n],Table19[AIR2],"="&amp;P$3,Table19[WY],"&gt;="&amp;$M22,Table19[WY],"&lt;="&amp;$L22)</f>
        <v>0</v>
      </c>
      <c r="Q22">
        <f>SUMIFS(Table19[n],Table19[AIR2],"="&amp;Q$3,Table19[WY],"&gt;="&amp;$M22,Table19[WY],"&lt;="&amp;$L22)</f>
        <v>0</v>
      </c>
      <c r="R22">
        <f>SUMIFS(Table19[n],Table19[AIR2],"="&amp;R$3,Table19[WY],"&gt;="&amp;$M22,Table19[WY],"&lt;="&amp;$L22)</f>
        <v>0</v>
      </c>
      <c r="S22">
        <f>SUMIFS(Table19[n],Table19[AIR2],"="&amp;S$3,Table19[WY],"&gt;="&amp;$M22,Table19[WY],"&lt;="&amp;$L22)</f>
        <v>1</v>
      </c>
      <c r="T22">
        <f>SUMIFS(Table19[n],Table19[AIR2],"="&amp;T$3,Table19[WY],"&gt;="&amp;$M22,Table19[WY],"&lt;="&amp;$L22)</f>
        <v>0</v>
      </c>
      <c r="U22">
        <f>SUMIFS(Table19[n],Table19[AIR2],"="&amp;U$3,Table19[WY],"&gt;="&amp;$M22,Table19[WY],"&lt;="&amp;$L22)</f>
        <v>0</v>
      </c>
      <c r="V22">
        <f>SUMIFS(Table19[n],Table19[AIR2],"="&amp;V$3,Table19[WY],"&gt;="&amp;$M22,Table19[WY],"&lt;="&amp;$L22)</f>
        <v>0</v>
      </c>
      <c r="W22">
        <f>SUMIFS(Table19[n],Table19[AIR2],"="&amp;W$3,Table19[WY],"&gt;="&amp;$M22,Table19[WY],"&lt;="&amp;$L22)</f>
        <v>0</v>
      </c>
      <c r="X22">
        <f>SUMIFS(Table19[n],Table19[AIR2],"="&amp;X$3,Table19[WY],"&gt;="&amp;$M22,Table19[WY],"&lt;="&amp;$L22)</f>
        <v>0</v>
      </c>
      <c r="Y22">
        <f>SUMIFS(Table19[n],Table19[AIR2],"="&amp;Y$3,Table19[WY],"&gt;="&amp;$M22,Table19[WY],"&lt;="&amp;$L22)</f>
        <v>2</v>
      </c>
      <c r="Z22">
        <f>SUMIFS(Table19[n],Table19[AIR2],"="&amp;Z$3,Table19[WY],"&gt;="&amp;$M22,Table19[WY],"&lt;="&amp;$L22)</f>
        <v>0</v>
      </c>
      <c r="AA22">
        <f>SUMIFS(Table19[n],Table19[AIR2],"="&amp;AA$3,Table19[WY],"&gt;="&amp;$M22,Table19[WY],"&lt;="&amp;$L22)</f>
        <v>0</v>
      </c>
      <c r="AB22">
        <f>SUMIFS(Table19[n],Table19[AIR2],"="&amp;AB$3,Table19[WY],"&gt;="&amp;$M22,Table19[WY],"&lt;="&amp;$L22)</f>
        <v>0</v>
      </c>
      <c r="AC22">
        <f>SUMIFS(Table19[n],Table19[AIR2],"="&amp;AC$3,Table19[WY],"&gt;="&amp;$M22,Table19[WY],"&lt;="&amp;$L22)</f>
        <v>0</v>
      </c>
      <c r="AD22">
        <f>SUMIFS(Table19[n],Table19[AIR2],"="&amp;AD$3,Table19[WY],"&gt;="&amp;$M22,Table19[WY],"&lt;="&amp;$L22)</f>
        <v>0</v>
      </c>
      <c r="AE22">
        <f>SUMIFS(Table19[n],Table19[AIR2],"="&amp;AE$3,Table19[WY],"&gt;="&amp;$M22,Table19[WY],"&lt;="&amp;$L22)</f>
        <v>0</v>
      </c>
      <c r="AF22">
        <f>SUMIFS(Table19[n],Table19[AIR2],"="&amp;AF$3,Table19[WY],"&gt;="&amp;$M22,Table19[WY],"&lt;="&amp;$L22)</f>
        <v>0</v>
      </c>
      <c r="AG22">
        <f>SUMIFS(Table19[n],Table19[AIR2],"="&amp;AG$3,Table19[WY],"&gt;="&amp;$M22,Table19[WY],"&lt;="&amp;$L22)</f>
        <v>0</v>
      </c>
      <c r="AH22">
        <f>SUMIFS(Table19[n],Table19[AIR2],"="&amp;AH$3,Table19[WY],"&gt;="&amp;$M22,Table19[WY],"&lt;="&amp;$L22)</f>
        <v>1</v>
      </c>
      <c r="AI22">
        <f>SUMIFS(Table19[n],Table19[AIR2],"="&amp;AI$3,Table19[WY],"&gt;="&amp;$M22,Table19[WY],"&lt;="&amp;$L22)</f>
        <v>0</v>
      </c>
      <c r="AJ22">
        <f>SUMIFS(Table19[n],Table19[AIR2],"="&amp;AJ$3,Table19[WY],"&gt;="&amp;$M22,Table19[WY],"&lt;="&amp;$L22)</f>
        <v>0</v>
      </c>
      <c r="AK22">
        <f>SUMIFS(Table19[n],Table19[AIR2],"="&amp;AK$3,Table19[WY],"&gt;="&amp;$M22,Table19[WY],"&lt;="&amp;$L22)</f>
        <v>0</v>
      </c>
      <c r="AL22">
        <f>SUMIFS(Table19[n],Table19[AIR2],"="&amp;AL$3,Table19[WY],"&gt;="&amp;$M22,Table19[WY],"&lt;="&amp;$L22)</f>
        <v>0</v>
      </c>
      <c r="AM22">
        <f>SUMIFS(Table19[n],Table19[AIR2],"="&amp;AM$3,Table19[WY],"&gt;="&amp;$M22,Table19[WY],"&lt;="&amp;$L22)</f>
        <v>0</v>
      </c>
      <c r="AN22">
        <f>SUMIFS(Table19[n],Table19[AIR2],"="&amp;AN$3,Table19[WY],"&gt;="&amp;$M22,Table19[WY],"&lt;="&amp;$L22)</f>
        <v>1</v>
      </c>
      <c r="AO22">
        <f>SUMIFS(Table19[n],Table19[AIR2],"="&amp;AO$3,Table19[WY],"&gt;="&amp;$M22,Table19[WY],"&lt;="&amp;$L22)</f>
        <v>0</v>
      </c>
      <c r="AP22">
        <f>SUMIFS(Table19[n],Table19[AIR2],"="&amp;AP$3,Table19[WY],"&gt;="&amp;$M22,Table19[WY],"&lt;="&amp;$L22)</f>
        <v>0</v>
      </c>
      <c r="AQ22">
        <f>SUMIFS(Table19[n],Table19[AIR2],"="&amp;AQ$3,Table19[WY],"&gt;="&amp;$M22,Table19[WY],"&lt;="&amp;$L22)</f>
        <v>1</v>
      </c>
      <c r="AR22">
        <f>SUMIFS(Table19[n],Table19[AIR2],"="&amp;AR$3,Table19[WY],"&gt;="&amp;$M22,Table19[WY],"&lt;="&amp;$L22)</f>
        <v>0</v>
      </c>
      <c r="AS22">
        <f>SUMIFS(Table19[n],Table19[AIR2],"="&amp;AS$3,Table19[WY],"&gt;="&amp;$M22,Table19[WY],"&lt;="&amp;$L22)</f>
        <v>0</v>
      </c>
      <c r="AT22">
        <f>SUMIFS(Table19[n],Table19[AIR2],"="&amp;AT$3,Table19[WY],"&gt;="&amp;$M22,Table19[WY],"&lt;="&amp;$L22)</f>
        <v>0</v>
      </c>
      <c r="AU22">
        <f>SUMIFS(Table19[n],Table19[AIR2],"="&amp;AU$3,Table19[WY],"&gt;="&amp;$M22,Table19[WY],"&lt;="&amp;$L22)</f>
        <v>0</v>
      </c>
      <c r="AV22">
        <f>SUMIFS(Table19[n],Table19[AIR2],"="&amp;AV$3,Table19[WY],"&gt;="&amp;$M22,Table19[WY],"&lt;="&amp;$L22)</f>
        <v>0</v>
      </c>
      <c r="AW22">
        <f>SUMIFS(Table19[n],Table19[AIR2],"="&amp;AW$3,Table19[WY],"&gt;="&amp;$M22,Table19[WY],"&lt;="&amp;$L22)</f>
        <v>0</v>
      </c>
      <c r="AX22">
        <f>SUMIFS(Table19[n],Table19[AIR2],"="&amp;AX$3,Table19[WY],"&gt;="&amp;$M22,Table19[WY],"&lt;="&amp;$L22)</f>
        <v>0</v>
      </c>
      <c r="AY22">
        <f>SUMIFS(Table19[n],Table19[AIR2],"="&amp;AY$3,Table19[WY],"&gt;="&amp;$M22,Table19[WY],"&lt;="&amp;$L22)</f>
        <v>0</v>
      </c>
      <c r="AZ22">
        <f>SUMIFS(Table19[n],Table19[AIR2],"="&amp;AZ$3,Table19[WY],"&gt;="&amp;$M22,Table19[WY],"&lt;="&amp;$L22)</f>
        <v>0</v>
      </c>
      <c r="BA22">
        <f>SUMIFS(Table19[n],Table19[AIR2],"="&amp;BA$3,Table19[WY],"&gt;="&amp;$M22,Table19[WY],"&lt;="&amp;$L22)</f>
        <v>1</v>
      </c>
      <c r="BB22">
        <f>SUMIFS(Table19[n],Table19[AIR2],"="&amp;BB$3,Table19[WY],"&gt;="&amp;$M22,Table19[WY],"&lt;="&amp;$L22)</f>
        <v>1</v>
      </c>
      <c r="BC22">
        <f>SUMIFS(Table19[n],Table19[AIR2],"="&amp;BC$3,Table19[WY],"&gt;="&amp;$M22,Table19[WY],"&lt;="&amp;$L22)</f>
        <v>1</v>
      </c>
      <c r="BD22">
        <f>SUMIFS(Table19[n],Table19[AIR2],"="&amp;BD$3,Table19[WY],"&gt;="&amp;$M22,Table19[WY],"&lt;="&amp;$L22)</f>
        <v>2</v>
      </c>
      <c r="BE22">
        <f>SUMIFS(Table19[n],Table19[AIR2],"="&amp;BE$3,Table19[WY],"&gt;="&amp;$M22,Table19[WY],"&lt;="&amp;$L22)</f>
        <v>2</v>
      </c>
      <c r="BF22">
        <f>SUMIFS(Table19[n],Table19[AIR2],"="&amp;BF$3,Table19[WY],"&gt;="&amp;$M22,Table19[WY],"&lt;="&amp;$L22)</f>
        <v>3</v>
      </c>
      <c r="BG22">
        <f>SUMIFS(Table19[n],Table19[AIR2],"="&amp;BG$3,Table19[WY],"&gt;="&amp;$M22,Table19[WY],"&lt;="&amp;$L22)</f>
        <v>1</v>
      </c>
    </row>
    <row r="23" spans="1:59">
      <c r="A23">
        <v>24</v>
      </c>
      <c r="B23">
        <v>202505</v>
      </c>
      <c r="C23" t="s">
        <v>388</v>
      </c>
      <c r="D23">
        <v>0</v>
      </c>
      <c r="E23">
        <v>1</v>
      </c>
      <c r="F23">
        <v>0</v>
      </c>
      <c r="G23">
        <v>1</v>
      </c>
      <c r="H23" t="s">
        <v>385</v>
      </c>
      <c r="I23">
        <v>1</v>
      </c>
      <c r="L23">
        <v>202531</v>
      </c>
      <c r="M23">
        <f t="shared" si="1"/>
        <v>202519</v>
      </c>
      <c r="N23">
        <f t="shared" si="2"/>
        <v>14</v>
      </c>
      <c r="O23">
        <f>SUMIFS(Table19[n],Table19[AIR2],"="&amp;O$3,Table19[WY],"&gt;="&amp;$M23,Table19[WY],"&lt;="&amp;$L23)</f>
        <v>0</v>
      </c>
      <c r="P23">
        <f>SUMIFS(Table19[n],Table19[AIR2],"="&amp;P$3,Table19[WY],"&gt;="&amp;$M23,Table19[WY],"&lt;="&amp;$L23)</f>
        <v>0</v>
      </c>
      <c r="Q23">
        <f>SUMIFS(Table19[n],Table19[AIR2],"="&amp;Q$3,Table19[WY],"&gt;="&amp;$M23,Table19[WY],"&lt;="&amp;$L23)</f>
        <v>0</v>
      </c>
      <c r="R23">
        <f>SUMIFS(Table19[n],Table19[AIR2],"="&amp;R$3,Table19[WY],"&gt;="&amp;$M23,Table19[WY],"&lt;="&amp;$L23)</f>
        <v>0</v>
      </c>
      <c r="S23">
        <f>SUMIFS(Table19[n],Table19[AIR2],"="&amp;S$3,Table19[WY],"&gt;="&amp;$M23,Table19[WY],"&lt;="&amp;$L23)</f>
        <v>1</v>
      </c>
      <c r="T23">
        <f>SUMIFS(Table19[n],Table19[AIR2],"="&amp;T$3,Table19[WY],"&gt;="&amp;$M23,Table19[WY],"&lt;="&amp;$L23)</f>
        <v>0</v>
      </c>
      <c r="U23">
        <f>SUMIFS(Table19[n],Table19[AIR2],"="&amp;U$3,Table19[WY],"&gt;="&amp;$M23,Table19[WY],"&lt;="&amp;$L23)</f>
        <v>0</v>
      </c>
      <c r="V23">
        <f>SUMIFS(Table19[n],Table19[AIR2],"="&amp;V$3,Table19[WY],"&gt;="&amp;$M23,Table19[WY],"&lt;="&amp;$L23)</f>
        <v>0</v>
      </c>
      <c r="W23">
        <f>SUMIFS(Table19[n],Table19[AIR2],"="&amp;W$3,Table19[WY],"&gt;="&amp;$M23,Table19[WY],"&lt;="&amp;$L23)</f>
        <v>0</v>
      </c>
      <c r="X23">
        <f>SUMIFS(Table19[n],Table19[AIR2],"="&amp;X$3,Table19[WY],"&gt;="&amp;$M23,Table19[WY],"&lt;="&amp;$L23)</f>
        <v>0</v>
      </c>
      <c r="Y23">
        <f>SUMIFS(Table19[n],Table19[AIR2],"="&amp;Y$3,Table19[WY],"&gt;="&amp;$M23,Table19[WY],"&lt;="&amp;$L23)</f>
        <v>0</v>
      </c>
      <c r="Z23">
        <f>SUMIFS(Table19[n],Table19[AIR2],"="&amp;Z$3,Table19[WY],"&gt;="&amp;$M23,Table19[WY],"&lt;="&amp;$L23)</f>
        <v>0</v>
      </c>
      <c r="AA23">
        <f>SUMIFS(Table19[n],Table19[AIR2],"="&amp;AA$3,Table19[WY],"&gt;="&amp;$M23,Table19[WY],"&lt;="&amp;$L23)</f>
        <v>0</v>
      </c>
      <c r="AB23">
        <f>SUMIFS(Table19[n],Table19[AIR2],"="&amp;AB$3,Table19[WY],"&gt;="&amp;$M23,Table19[WY],"&lt;="&amp;$L23)</f>
        <v>0</v>
      </c>
      <c r="AC23">
        <f>SUMIFS(Table19[n],Table19[AIR2],"="&amp;AC$3,Table19[WY],"&gt;="&amp;$M23,Table19[WY],"&lt;="&amp;$L23)</f>
        <v>0</v>
      </c>
      <c r="AD23">
        <f>SUMIFS(Table19[n],Table19[AIR2],"="&amp;AD$3,Table19[WY],"&gt;="&amp;$M23,Table19[WY],"&lt;="&amp;$L23)</f>
        <v>0</v>
      </c>
      <c r="AE23">
        <f>SUMIFS(Table19[n],Table19[AIR2],"="&amp;AE$3,Table19[WY],"&gt;="&amp;$M23,Table19[WY],"&lt;="&amp;$L23)</f>
        <v>0</v>
      </c>
      <c r="AF23">
        <f>SUMIFS(Table19[n],Table19[AIR2],"="&amp;AF$3,Table19[WY],"&gt;="&amp;$M23,Table19[WY],"&lt;="&amp;$L23)</f>
        <v>0</v>
      </c>
      <c r="AG23">
        <f>SUMIFS(Table19[n],Table19[AIR2],"="&amp;AG$3,Table19[WY],"&gt;="&amp;$M23,Table19[WY],"&lt;="&amp;$L23)</f>
        <v>0</v>
      </c>
      <c r="AH23">
        <f>SUMIFS(Table19[n],Table19[AIR2],"="&amp;AH$3,Table19[WY],"&gt;="&amp;$M23,Table19[WY],"&lt;="&amp;$L23)</f>
        <v>1</v>
      </c>
      <c r="AI23">
        <f>SUMIFS(Table19[n],Table19[AIR2],"="&amp;AI$3,Table19[WY],"&gt;="&amp;$M23,Table19[WY],"&lt;="&amp;$L23)</f>
        <v>0</v>
      </c>
      <c r="AJ23">
        <f>SUMIFS(Table19[n],Table19[AIR2],"="&amp;AJ$3,Table19[WY],"&gt;="&amp;$M23,Table19[WY],"&lt;="&amp;$L23)</f>
        <v>0</v>
      </c>
      <c r="AK23">
        <f>SUMIFS(Table19[n],Table19[AIR2],"="&amp;AK$3,Table19[WY],"&gt;="&amp;$M23,Table19[WY],"&lt;="&amp;$L23)</f>
        <v>0</v>
      </c>
      <c r="AL23">
        <f>SUMIFS(Table19[n],Table19[AIR2],"="&amp;AL$3,Table19[WY],"&gt;="&amp;$M23,Table19[WY],"&lt;="&amp;$L23)</f>
        <v>0</v>
      </c>
      <c r="AM23">
        <f>SUMIFS(Table19[n],Table19[AIR2],"="&amp;AM$3,Table19[WY],"&gt;="&amp;$M23,Table19[WY],"&lt;="&amp;$L23)</f>
        <v>0</v>
      </c>
      <c r="AN23">
        <f>SUMIFS(Table19[n],Table19[AIR2],"="&amp;AN$3,Table19[WY],"&gt;="&amp;$M23,Table19[WY],"&lt;="&amp;$L23)</f>
        <v>1</v>
      </c>
      <c r="AO23">
        <f>SUMIFS(Table19[n],Table19[AIR2],"="&amp;AO$3,Table19[WY],"&gt;="&amp;$M23,Table19[WY],"&lt;="&amp;$L23)</f>
        <v>0</v>
      </c>
      <c r="AP23">
        <f>SUMIFS(Table19[n],Table19[AIR2],"="&amp;AP$3,Table19[WY],"&gt;="&amp;$M23,Table19[WY],"&lt;="&amp;$L23)</f>
        <v>0</v>
      </c>
      <c r="AQ23">
        <f>SUMIFS(Table19[n],Table19[AIR2],"="&amp;AQ$3,Table19[WY],"&gt;="&amp;$M23,Table19[WY],"&lt;="&amp;$L23)</f>
        <v>1</v>
      </c>
      <c r="AR23">
        <f>SUMIFS(Table19[n],Table19[AIR2],"="&amp;AR$3,Table19[WY],"&gt;="&amp;$M23,Table19[WY],"&lt;="&amp;$L23)</f>
        <v>0</v>
      </c>
      <c r="AS23">
        <f>SUMIFS(Table19[n],Table19[AIR2],"="&amp;AS$3,Table19[WY],"&gt;="&amp;$M23,Table19[WY],"&lt;="&amp;$L23)</f>
        <v>0</v>
      </c>
      <c r="AT23">
        <f>SUMIFS(Table19[n],Table19[AIR2],"="&amp;AT$3,Table19[WY],"&gt;="&amp;$M23,Table19[WY],"&lt;="&amp;$L23)</f>
        <v>0</v>
      </c>
      <c r="AU23">
        <f>SUMIFS(Table19[n],Table19[AIR2],"="&amp;AU$3,Table19[WY],"&gt;="&amp;$M23,Table19[WY],"&lt;="&amp;$L23)</f>
        <v>0</v>
      </c>
      <c r="AV23">
        <f>SUMIFS(Table19[n],Table19[AIR2],"="&amp;AV$3,Table19[WY],"&gt;="&amp;$M23,Table19[WY],"&lt;="&amp;$L23)</f>
        <v>0</v>
      </c>
      <c r="AW23">
        <f>SUMIFS(Table19[n],Table19[AIR2],"="&amp;AW$3,Table19[WY],"&gt;="&amp;$M23,Table19[WY],"&lt;="&amp;$L23)</f>
        <v>0</v>
      </c>
      <c r="AX23">
        <f>SUMIFS(Table19[n],Table19[AIR2],"="&amp;AX$3,Table19[WY],"&gt;="&amp;$M23,Table19[WY],"&lt;="&amp;$L23)</f>
        <v>0</v>
      </c>
      <c r="AY23">
        <f>SUMIFS(Table19[n],Table19[AIR2],"="&amp;AY$3,Table19[WY],"&gt;="&amp;$M23,Table19[WY],"&lt;="&amp;$L23)</f>
        <v>0</v>
      </c>
      <c r="AZ23">
        <f>SUMIFS(Table19[n],Table19[AIR2],"="&amp;AZ$3,Table19[WY],"&gt;="&amp;$M23,Table19[WY],"&lt;="&amp;$L23)</f>
        <v>0</v>
      </c>
      <c r="BA23">
        <f>SUMIFS(Table19[n],Table19[AIR2],"="&amp;BA$3,Table19[WY],"&gt;="&amp;$M23,Table19[WY],"&lt;="&amp;$L23)</f>
        <v>0</v>
      </c>
      <c r="BB23">
        <f>SUMIFS(Table19[n],Table19[AIR2],"="&amp;BB$3,Table19[WY],"&gt;="&amp;$M23,Table19[WY],"&lt;="&amp;$L23)</f>
        <v>1</v>
      </c>
      <c r="BC23">
        <f>SUMIFS(Table19[n],Table19[AIR2],"="&amp;BC$3,Table19[WY],"&gt;="&amp;$M23,Table19[WY],"&lt;="&amp;$L23)</f>
        <v>1</v>
      </c>
      <c r="BD23">
        <f>SUMIFS(Table19[n],Table19[AIR2],"="&amp;BD$3,Table19[WY],"&gt;="&amp;$M23,Table19[WY],"&lt;="&amp;$L23)</f>
        <v>2</v>
      </c>
      <c r="BE23">
        <f>SUMIFS(Table19[n],Table19[AIR2],"="&amp;BE$3,Table19[WY],"&gt;="&amp;$M23,Table19[WY],"&lt;="&amp;$L23)</f>
        <v>2</v>
      </c>
      <c r="BF23">
        <f>SUMIFS(Table19[n],Table19[AIR2],"="&amp;BF$3,Table19[WY],"&gt;="&amp;$M23,Table19[WY],"&lt;="&amp;$L23)</f>
        <v>3</v>
      </c>
      <c r="BG23">
        <f>SUMIFS(Table19[n],Table19[AIR2],"="&amp;BG$3,Table19[WY],"&gt;="&amp;$M23,Table19[WY],"&lt;="&amp;$L23)</f>
        <v>1</v>
      </c>
    </row>
    <row r="24" spans="1:59">
      <c r="A24">
        <v>25</v>
      </c>
      <c r="B24">
        <v>202505</v>
      </c>
      <c r="C24" t="s">
        <v>380</v>
      </c>
      <c r="D24">
        <v>0</v>
      </c>
      <c r="E24">
        <v>1</v>
      </c>
      <c r="F24">
        <v>0</v>
      </c>
      <c r="G24">
        <v>0</v>
      </c>
      <c r="H24" t="s">
        <v>377</v>
      </c>
      <c r="I24">
        <v>1</v>
      </c>
      <c r="L24">
        <v>202532</v>
      </c>
      <c r="M24">
        <f t="shared" si="1"/>
        <v>202520</v>
      </c>
      <c r="N24">
        <f t="shared" si="2"/>
        <v>12</v>
      </c>
      <c r="O24">
        <f>SUMIFS(Table19[n],Table19[AIR2],"="&amp;O$3,Table19[WY],"&gt;="&amp;$M24,Table19[WY],"&lt;="&amp;$L24)</f>
        <v>0</v>
      </c>
      <c r="P24">
        <f>SUMIFS(Table19[n],Table19[AIR2],"="&amp;P$3,Table19[WY],"&gt;="&amp;$M24,Table19[WY],"&lt;="&amp;$L24)</f>
        <v>0</v>
      </c>
      <c r="Q24">
        <f>SUMIFS(Table19[n],Table19[AIR2],"="&amp;Q$3,Table19[WY],"&gt;="&amp;$M24,Table19[WY],"&lt;="&amp;$L24)</f>
        <v>0</v>
      </c>
      <c r="R24">
        <f>SUMIFS(Table19[n],Table19[AIR2],"="&amp;R$3,Table19[WY],"&gt;="&amp;$M24,Table19[WY],"&lt;="&amp;$L24)</f>
        <v>0</v>
      </c>
      <c r="S24">
        <f>SUMIFS(Table19[n],Table19[AIR2],"="&amp;S$3,Table19[WY],"&gt;="&amp;$M24,Table19[WY],"&lt;="&amp;$L24)</f>
        <v>1</v>
      </c>
      <c r="T24">
        <f>SUMIFS(Table19[n],Table19[AIR2],"="&amp;T$3,Table19[WY],"&gt;="&amp;$M24,Table19[WY],"&lt;="&amp;$L24)</f>
        <v>0</v>
      </c>
      <c r="U24">
        <f>SUMIFS(Table19[n],Table19[AIR2],"="&amp;U$3,Table19[WY],"&gt;="&amp;$M24,Table19[WY],"&lt;="&amp;$L24)</f>
        <v>0</v>
      </c>
      <c r="V24">
        <f>SUMIFS(Table19[n],Table19[AIR2],"="&amp;V$3,Table19[WY],"&gt;="&amp;$M24,Table19[WY],"&lt;="&amp;$L24)</f>
        <v>0</v>
      </c>
      <c r="W24">
        <f>SUMIFS(Table19[n],Table19[AIR2],"="&amp;W$3,Table19[WY],"&gt;="&amp;$M24,Table19[WY],"&lt;="&amp;$L24)</f>
        <v>0</v>
      </c>
      <c r="X24">
        <f>SUMIFS(Table19[n],Table19[AIR2],"="&amp;X$3,Table19[WY],"&gt;="&amp;$M24,Table19[WY],"&lt;="&amp;$L24)</f>
        <v>0</v>
      </c>
      <c r="Y24">
        <f>SUMIFS(Table19[n],Table19[AIR2],"="&amp;Y$3,Table19[WY],"&gt;="&amp;$M24,Table19[WY],"&lt;="&amp;$L24)</f>
        <v>0</v>
      </c>
      <c r="Z24">
        <f>SUMIFS(Table19[n],Table19[AIR2],"="&amp;Z$3,Table19[WY],"&gt;="&amp;$M24,Table19[WY],"&lt;="&amp;$L24)</f>
        <v>0</v>
      </c>
      <c r="AA24">
        <f>SUMIFS(Table19[n],Table19[AIR2],"="&amp;AA$3,Table19[WY],"&gt;="&amp;$M24,Table19[WY],"&lt;="&amp;$L24)</f>
        <v>0</v>
      </c>
      <c r="AB24">
        <f>SUMIFS(Table19[n],Table19[AIR2],"="&amp;AB$3,Table19[WY],"&gt;="&amp;$M24,Table19[WY],"&lt;="&amp;$L24)</f>
        <v>0</v>
      </c>
      <c r="AC24">
        <f>SUMIFS(Table19[n],Table19[AIR2],"="&amp;AC$3,Table19[WY],"&gt;="&amp;$M24,Table19[WY],"&lt;="&amp;$L24)</f>
        <v>0</v>
      </c>
      <c r="AD24">
        <f>SUMIFS(Table19[n],Table19[AIR2],"="&amp;AD$3,Table19[WY],"&gt;="&amp;$M24,Table19[WY],"&lt;="&amp;$L24)</f>
        <v>0</v>
      </c>
      <c r="AE24">
        <f>SUMIFS(Table19[n],Table19[AIR2],"="&amp;AE$3,Table19[WY],"&gt;="&amp;$M24,Table19[WY],"&lt;="&amp;$L24)</f>
        <v>0</v>
      </c>
      <c r="AF24">
        <f>SUMIFS(Table19[n],Table19[AIR2],"="&amp;AF$3,Table19[WY],"&gt;="&amp;$M24,Table19[WY],"&lt;="&amp;$L24)</f>
        <v>0</v>
      </c>
      <c r="AG24">
        <f>SUMIFS(Table19[n],Table19[AIR2],"="&amp;AG$3,Table19[WY],"&gt;="&amp;$M24,Table19[WY],"&lt;="&amp;$L24)</f>
        <v>0</v>
      </c>
      <c r="AH24">
        <f>SUMIFS(Table19[n],Table19[AIR2],"="&amp;AH$3,Table19[WY],"&gt;="&amp;$M24,Table19[WY],"&lt;="&amp;$L24)</f>
        <v>1</v>
      </c>
      <c r="AI24">
        <f>SUMIFS(Table19[n],Table19[AIR2],"="&amp;AI$3,Table19[WY],"&gt;="&amp;$M24,Table19[WY],"&lt;="&amp;$L24)</f>
        <v>0</v>
      </c>
      <c r="AJ24">
        <f>SUMIFS(Table19[n],Table19[AIR2],"="&amp;AJ$3,Table19[WY],"&gt;="&amp;$M24,Table19[WY],"&lt;="&amp;$L24)</f>
        <v>0</v>
      </c>
      <c r="AK24">
        <f>SUMIFS(Table19[n],Table19[AIR2],"="&amp;AK$3,Table19[WY],"&gt;="&amp;$M24,Table19[WY],"&lt;="&amp;$L24)</f>
        <v>0</v>
      </c>
      <c r="AL24">
        <f>SUMIFS(Table19[n],Table19[AIR2],"="&amp;AL$3,Table19[WY],"&gt;="&amp;$M24,Table19[WY],"&lt;="&amp;$L24)</f>
        <v>0</v>
      </c>
      <c r="AM24">
        <f>SUMIFS(Table19[n],Table19[AIR2],"="&amp;AM$3,Table19[WY],"&gt;="&amp;$M24,Table19[WY],"&lt;="&amp;$L24)</f>
        <v>0</v>
      </c>
      <c r="AN24">
        <f>SUMIFS(Table19[n],Table19[AIR2],"="&amp;AN$3,Table19[WY],"&gt;="&amp;$M24,Table19[WY],"&lt;="&amp;$L24)</f>
        <v>1</v>
      </c>
      <c r="AO24">
        <f>SUMIFS(Table19[n],Table19[AIR2],"="&amp;AO$3,Table19[WY],"&gt;="&amp;$M24,Table19[WY],"&lt;="&amp;$L24)</f>
        <v>0</v>
      </c>
      <c r="AP24">
        <f>SUMIFS(Table19[n],Table19[AIR2],"="&amp;AP$3,Table19[WY],"&gt;="&amp;$M24,Table19[WY],"&lt;="&amp;$L24)</f>
        <v>0</v>
      </c>
      <c r="AQ24">
        <f>SUMIFS(Table19[n],Table19[AIR2],"="&amp;AQ$3,Table19[WY],"&gt;="&amp;$M24,Table19[WY],"&lt;="&amp;$L24)</f>
        <v>1</v>
      </c>
      <c r="AR24">
        <f>SUMIFS(Table19[n],Table19[AIR2],"="&amp;AR$3,Table19[WY],"&gt;="&amp;$M24,Table19[WY],"&lt;="&amp;$L24)</f>
        <v>0</v>
      </c>
      <c r="AS24">
        <f>SUMIFS(Table19[n],Table19[AIR2],"="&amp;AS$3,Table19[WY],"&gt;="&amp;$M24,Table19[WY],"&lt;="&amp;$L24)</f>
        <v>0</v>
      </c>
      <c r="AT24">
        <f>SUMIFS(Table19[n],Table19[AIR2],"="&amp;AT$3,Table19[WY],"&gt;="&amp;$M24,Table19[WY],"&lt;="&amp;$L24)</f>
        <v>0</v>
      </c>
      <c r="AU24">
        <f>SUMIFS(Table19[n],Table19[AIR2],"="&amp;AU$3,Table19[WY],"&gt;="&amp;$M24,Table19[WY],"&lt;="&amp;$L24)</f>
        <v>0</v>
      </c>
      <c r="AV24">
        <f>SUMIFS(Table19[n],Table19[AIR2],"="&amp;AV$3,Table19[WY],"&gt;="&amp;$M24,Table19[WY],"&lt;="&amp;$L24)</f>
        <v>0</v>
      </c>
      <c r="AW24">
        <f>SUMIFS(Table19[n],Table19[AIR2],"="&amp;AW$3,Table19[WY],"&gt;="&amp;$M24,Table19[WY],"&lt;="&amp;$L24)</f>
        <v>0</v>
      </c>
      <c r="AX24">
        <f>SUMIFS(Table19[n],Table19[AIR2],"="&amp;AX$3,Table19[WY],"&gt;="&amp;$M24,Table19[WY],"&lt;="&amp;$L24)</f>
        <v>0</v>
      </c>
      <c r="AY24">
        <f>SUMIFS(Table19[n],Table19[AIR2],"="&amp;AY$3,Table19[WY],"&gt;="&amp;$M24,Table19[WY],"&lt;="&amp;$L24)</f>
        <v>0</v>
      </c>
      <c r="AZ24">
        <f>SUMIFS(Table19[n],Table19[AIR2],"="&amp;AZ$3,Table19[WY],"&gt;="&amp;$M24,Table19[WY],"&lt;="&amp;$L24)</f>
        <v>0</v>
      </c>
      <c r="BA24">
        <f>SUMIFS(Table19[n],Table19[AIR2],"="&amp;BA$3,Table19[WY],"&gt;="&amp;$M24,Table19[WY],"&lt;="&amp;$L24)</f>
        <v>0</v>
      </c>
      <c r="BB24">
        <f>SUMIFS(Table19[n],Table19[AIR2],"="&amp;BB$3,Table19[WY],"&gt;="&amp;$M24,Table19[WY],"&lt;="&amp;$L24)</f>
        <v>0</v>
      </c>
      <c r="BC24">
        <f>SUMIFS(Table19[n],Table19[AIR2],"="&amp;BC$3,Table19[WY],"&gt;="&amp;$M24,Table19[WY],"&lt;="&amp;$L24)</f>
        <v>0</v>
      </c>
      <c r="BD24">
        <f>SUMIFS(Table19[n],Table19[AIR2],"="&amp;BD$3,Table19[WY],"&gt;="&amp;$M24,Table19[WY],"&lt;="&amp;$L24)</f>
        <v>2</v>
      </c>
      <c r="BE24">
        <f>SUMIFS(Table19[n],Table19[AIR2],"="&amp;BE$3,Table19[WY],"&gt;="&amp;$M24,Table19[WY],"&lt;="&amp;$L24)</f>
        <v>2</v>
      </c>
      <c r="BF24">
        <f>SUMIFS(Table19[n],Table19[AIR2],"="&amp;BF$3,Table19[WY],"&gt;="&amp;$M24,Table19[WY],"&lt;="&amp;$L24)</f>
        <v>3</v>
      </c>
      <c r="BG24">
        <f>SUMIFS(Table19[n],Table19[AIR2],"="&amp;BG$3,Table19[WY],"&gt;="&amp;$M24,Table19[WY],"&lt;="&amp;$L24)</f>
        <v>1</v>
      </c>
    </row>
    <row r="25" spans="1:59">
      <c r="A25">
        <v>26</v>
      </c>
      <c r="B25">
        <v>202505</v>
      </c>
      <c r="C25" t="s">
        <v>408</v>
      </c>
      <c r="D25">
        <v>0</v>
      </c>
      <c r="E25">
        <v>1</v>
      </c>
      <c r="F25">
        <v>0</v>
      </c>
      <c r="G25">
        <v>1</v>
      </c>
      <c r="H25" t="s">
        <v>294</v>
      </c>
      <c r="I25">
        <v>1</v>
      </c>
      <c r="L25">
        <v>202533</v>
      </c>
      <c r="M25">
        <f t="shared" si="1"/>
        <v>202521</v>
      </c>
      <c r="N25">
        <f t="shared" si="2"/>
        <v>8</v>
      </c>
      <c r="O25">
        <f>SUMIFS(Table19[n],Table19[AIR2],"="&amp;O$3,Table19[WY],"&gt;="&amp;$M25,Table19[WY],"&lt;="&amp;$L25)</f>
        <v>0</v>
      </c>
      <c r="P25">
        <f>SUMIFS(Table19[n],Table19[AIR2],"="&amp;P$3,Table19[WY],"&gt;="&amp;$M25,Table19[WY],"&lt;="&amp;$L25)</f>
        <v>0</v>
      </c>
      <c r="Q25">
        <f>SUMIFS(Table19[n],Table19[AIR2],"="&amp;Q$3,Table19[WY],"&gt;="&amp;$M25,Table19[WY],"&lt;="&amp;$L25)</f>
        <v>0</v>
      </c>
      <c r="R25">
        <f>SUMIFS(Table19[n],Table19[AIR2],"="&amp;R$3,Table19[WY],"&gt;="&amp;$M25,Table19[WY],"&lt;="&amp;$L25)</f>
        <v>0</v>
      </c>
      <c r="S25">
        <f>SUMIFS(Table19[n],Table19[AIR2],"="&amp;S$3,Table19[WY],"&gt;="&amp;$M25,Table19[WY],"&lt;="&amp;$L25)</f>
        <v>1</v>
      </c>
      <c r="T25">
        <f>SUMIFS(Table19[n],Table19[AIR2],"="&amp;T$3,Table19[WY],"&gt;="&amp;$M25,Table19[WY],"&lt;="&amp;$L25)</f>
        <v>0</v>
      </c>
      <c r="U25">
        <f>SUMIFS(Table19[n],Table19[AIR2],"="&amp;U$3,Table19[WY],"&gt;="&amp;$M25,Table19[WY],"&lt;="&amp;$L25)</f>
        <v>0</v>
      </c>
      <c r="V25">
        <f>SUMIFS(Table19[n],Table19[AIR2],"="&amp;V$3,Table19[WY],"&gt;="&amp;$M25,Table19[WY],"&lt;="&amp;$L25)</f>
        <v>0</v>
      </c>
      <c r="W25">
        <f>SUMIFS(Table19[n],Table19[AIR2],"="&amp;W$3,Table19[WY],"&gt;="&amp;$M25,Table19[WY],"&lt;="&amp;$L25)</f>
        <v>0</v>
      </c>
      <c r="X25">
        <f>SUMIFS(Table19[n],Table19[AIR2],"="&amp;X$3,Table19[WY],"&gt;="&amp;$M25,Table19[WY],"&lt;="&amp;$L25)</f>
        <v>0</v>
      </c>
      <c r="Y25">
        <f>SUMIFS(Table19[n],Table19[AIR2],"="&amp;Y$3,Table19[WY],"&gt;="&amp;$M25,Table19[WY],"&lt;="&amp;$L25)</f>
        <v>0</v>
      </c>
      <c r="Z25">
        <f>SUMIFS(Table19[n],Table19[AIR2],"="&amp;Z$3,Table19[WY],"&gt;="&amp;$M25,Table19[WY],"&lt;="&amp;$L25)</f>
        <v>0</v>
      </c>
      <c r="AA25">
        <f>SUMIFS(Table19[n],Table19[AIR2],"="&amp;AA$3,Table19[WY],"&gt;="&amp;$M25,Table19[WY],"&lt;="&amp;$L25)</f>
        <v>0</v>
      </c>
      <c r="AB25">
        <f>SUMIFS(Table19[n],Table19[AIR2],"="&amp;AB$3,Table19[WY],"&gt;="&amp;$M25,Table19[WY],"&lt;="&amp;$L25)</f>
        <v>0</v>
      </c>
      <c r="AC25">
        <f>SUMIFS(Table19[n],Table19[AIR2],"="&amp;AC$3,Table19[WY],"&gt;="&amp;$M25,Table19[WY],"&lt;="&amp;$L25)</f>
        <v>0</v>
      </c>
      <c r="AD25">
        <f>SUMIFS(Table19[n],Table19[AIR2],"="&amp;AD$3,Table19[WY],"&gt;="&amp;$M25,Table19[WY],"&lt;="&amp;$L25)</f>
        <v>0</v>
      </c>
      <c r="AE25">
        <f>SUMIFS(Table19[n],Table19[AIR2],"="&amp;AE$3,Table19[WY],"&gt;="&amp;$M25,Table19[WY],"&lt;="&amp;$L25)</f>
        <v>0</v>
      </c>
      <c r="AF25">
        <f>SUMIFS(Table19[n],Table19[AIR2],"="&amp;AF$3,Table19[WY],"&gt;="&amp;$M25,Table19[WY],"&lt;="&amp;$L25)</f>
        <v>0</v>
      </c>
      <c r="AG25">
        <f>SUMIFS(Table19[n],Table19[AIR2],"="&amp;AG$3,Table19[WY],"&gt;="&amp;$M25,Table19[WY],"&lt;="&amp;$L25)</f>
        <v>0</v>
      </c>
      <c r="AH25">
        <f>SUMIFS(Table19[n],Table19[AIR2],"="&amp;AH$3,Table19[WY],"&gt;="&amp;$M25,Table19[WY],"&lt;="&amp;$L25)</f>
        <v>0</v>
      </c>
      <c r="AI25">
        <f>SUMIFS(Table19[n],Table19[AIR2],"="&amp;AI$3,Table19[WY],"&gt;="&amp;$M25,Table19[WY],"&lt;="&amp;$L25)</f>
        <v>0</v>
      </c>
      <c r="AJ25">
        <f>SUMIFS(Table19[n],Table19[AIR2],"="&amp;AJ$3,Table19[WY],"&gt;="&amp;$M25,Table19[WY],"&lt;="&amp;$L25)</f>
        <v>0</v>
      </c>
      <c r="AK25">
        <f>SUMIFS(Table19[n],Table19[AIR2],"="&amp;AK$3,Table19[WY],"&gt;="&amp;$M25,Table19[WY],"&lt;="&amp;$L25)</f>
        <v>0</v>
      </c>
      <c r="AL25">
        <f>SUMIFS(Table19[n],Table19[AIR2],"="&amp;AL$3,Table19[WY],"&gt;="&amp;$M25,Table19[WY],"&lt;="&amp;$L25)</f>
        <v>0</v>
      </c>
      <c r="AM25">
        <f>SUMIFS(Table19[n],Table19[AIR2],"="&amp;AM$3,Table19[WY],"&gt;="&amp;$M25,Table19[WY],"&lt;="&amp;$L25)</f>
        <v>0</v>
      </c>
      <c r="AN25">
        <f>SUMIFS(Table19[n],Table19[AIR2],"="&amp;AN$3,Table19[WY],"&gt;="&amp;$M25,Table19[WY],"&lt;="&amp;$L25)</f>
        <v>0</v>
      </c>
      <c r="AO25">
        <f>SUMIFS(Table19[n],Table19[AIR2],"="&amp;AO$3,Table19[WY],"&gt;="&amp;$M25,Table19[WY],"&lt;="&amp;$L25)</f>
        <v>0</v>
      </c>
      <c r="AP25">
        <f>SUMIFS(Table19[n],Table19[AIR2],"="&amp;AP$3,Table19[WY],"&gt;="&amp;$M25,Table19[WY],"&lt;="&amp;$L25)</f>
        <v>0</v>
      </c>
      <c r="AQ25">
        <f>SUMIFS(Table19[n],Table19[AIR2],"="&amp;AQ$3,Table19[WY],"&gt;="&amp;$M25,Table19[WY],"&lt;="&amp;$L25)</f>
        <v>1</v>
      </c>
      <c r="AR25">
        <f>SUMIFS(Table19[n],Table19[AIR2],"="&amp;AR$3,Table19[WY],"&gt;="&amp;$M25,Table19[WY],"&lt;="&amp;$L25)</f>
        <v>0</v>
      </c>
      <c r="AS25">
        <f>SUMIFS(Table19[n],Table19[AIR2],"="&amp;AS$3,Table19[WY],"&gt;="&amp;$M25,Table19[WY],"&lt;="&amp;$L25)</f>
        <v>0</v>
      </c>
      <c r="AT25">
        <f>SUMIFS(Table19[n],Table19[AIR2],"="&amp;AT$3,Table19[WY],"&gt;="&amp;$M25,Table19[WY],"&lt;="&amp;$L25)</f>
        <v>0</v>
      </c>
      <c r="AU25">
        <f>SUMIFS(Table19[n],Table19[AIR2],"="&amp;AU$3,Table19[WY],"&gt;="&amp;$M25,Table19[WY],"&lt;="&amp;$L25)</f>
        <v>0</v>
      </c>
      <c r="AV25">
        <f>SUMIFS(Table19[n],Table19[AIR2],"="&amp;AV$3,Table19[WY],"&gt;="&amp;$M25,Table19[WY],"&lt;="&amp;$L25)</f>
        <v>0</v>
      </c>
      <c r="AW25">
        <f>SUMIFS(Table19[n],Table19[AIR2],"="&amp;AW$3,Table19[WY],"&gt;="&amp;$M25,Table19[WY],"&lt;="&amp;$L25)</f>
        <v>0</v>
      </c>
      <c r="AX25">
        <f>SUMIFS(Table19[n],Table19[AIR2],"="&amp;AX$3,Table19[WY],"&gt;="&amp;$M25,Table19[WY],"&lt;="&amp;$L25)</f>
        <v>0</v>
      </c>
      <c r="AY25">
        <f>SUMIFS(Table19[n],Table19[AIR2],"="&amp;AY$3,Table19[WY],"&gt;="&amp;$M25,Table19[WY],"&lt;="&amp;$L25)</f>
        <v>0</v>
      </c>
      <c r="AZ25">
        <f>SUMIFS(Table19[n],Table19[AIR2],"="&amp;AZ$3,Table19[WY],"&gt;="&amp;$M25,Table19[WY],"&lt;="&amp;$L25)</f>
        <v>0</v>
      </c>
      <c r="BA25">
        <f>SUMIFS(Table19[n],Table19[AIR2],"="&amp;BA$3,Table19[WY],"&gt;="&amp;$M25,Table19[WY],"&lt;="&amp;$L25)</f>
        <v>0</v>
      </c>
      <c r="BB25">
        <f>SUMIFS(Table19[n],Table19[AIR2],"="&amp;BB$3,Table19[WY],"&gt;="&amp;$M25,Table19[WY],"&lt;="&amp;$L25)</f>
        <v>0</v>
      </c>
      <c r="BC25">
        <f>SUMIFS(Table19[n],Table19[AIR2],"="&amp;BC$3,Table19[WY],"&gt;="&amp;$M25,Table19[WY],"&lt;="&amp;$L25)</f>
        <v>0</v>
      </c>
      <c r="BD25">
        <f>SUMIFS(Table19[n],Table19[AIR2],"="&amp;BD$3,Table19[WY],"&gt;="&amp;$M25,Table19[WY],"&lt;="&amp;$L25)</f>
        <v>0</v>
      </c>
      <c r="BE25">
        <f>SUMIFS(Table19[n],Table19[AIR2],"="&amp;BE$3,Table19[WY],"&gt;="&amp;$M25,Table19[WY],"&lt;="&amp;$L25)</f>
        <v>2</v>
      </c>
      <c r="BF25">
        <f>SUMIFS(Table19[n],Table19[AIR2],"="&amp;BF$3,Table19[WY],"&gt;="&amp;$M25,Table19[WY],"&lt;="&amp;$L25)</f>
        <v>3</v>
      </c>
      <c r="BG25">
        <f>SUMIFS(Table19[n],Table19[AIR2],"="&amp;BG$3,Table19[WY],"&gt;="&amp;$M25,Table19[WY],"&lt;="&amp;$L25)</f>
        <v>1</v>
      </c>
    </row>
    <row r="26" spans="1:59">
      <c r="A26">
        <v>27</v>
      </c>
      <c r="B26">
        <v>202506</v>
      </c>
      <c r="C26" t="s">
        <v>416</v>
      </c>
      <c r="D26">
        <v>1</v>
      </c>
      <c r="E26">
        <v>0</v>
      </c>
      <c r="F26">
        <v>1</v>
      </c>
      <c r="G26">
        <v>0</v>
      </c>
      <c r="H26" t="s">
        <v>413</v>
      </c>
      <c r="I26">
        <v>1</v>
      </c>
      <c r="L26">
        <v>202534</v>
      </c>
      <c r="M26">
        <f t="shared" si="1"/>
        <v>202522</v>
      </c>
      <c r="N26">
        <f t="shared" si="2"/>
        <v>3</v>
      </c>
      <c r="O26">
        <f>SUMIFS(Table19[n],Table19[AIR2],"="&amp;O$3,Table19[WY],"&gt;="&amp;$M26,Table19[WY],"&lt;="&amp;$L26)</f>
        <v>0</v>
      </c>
      <c r="P26">
        <f>SUMIFS(Table19[n],Table19[AIR2],"="&amp;P$3,Table19[WY],"&gt;="&amp;$M26,Table19[WY],"&lt;="&amp;$L26)</f>
        <v>0</v>
      </c>
      <c r="Q26">
        <f>SUMIFS(Table19[n],Table19[AIR2],"="&amp;Q$3,Table19[WY],"&gt;="&amp;$M26,Table19[WY],"&lt;="&amp;$L26)</f>
        <v>0</v>
      </c>
      <c r="R26">
        <f>SUMIFS(Table19[n],Table19[AIR2],"="&amp;R$3,Table19[WY],"&gt;="&amp;$M26,Table19[WY],"&lt;="&amp;$L26)</f>
        <v>0</v>
      </c>
      <c r="S26">
        <f>SUMIFS(Table19[n],Table19[AIR2],"="&amp;S$3,Table19[WY],"&gt;="&amp;$M26,Table19[WY],"&lt;="&amp;$L26)</f>
        <v>0</v>
      </c>
      <c r="T26">
        <f>SUMIFS(Table19[n],Table19[AIR2],"="&amp;T$3,Table19[WY],"&gt;="&amp;$M26,Table19[WY],"&lt;="&amp;$L26)</f>
        <v>0</v>
      </c>
      <c r="U26">
        <f>SUMIFS(Table19[n],Table19[AIR2],"="&amp;U$3,Table19[WY],"&gt;="&amp;$M26,Table19[WY],"&lt;="&amp;$L26)</f>
        <v>0</v>
      </c>
      <c r="V26">
        <f>SUMIFS(Table19[n],Table19[AIR2],"="&amp;V$3,Table19[WY],"&gt;="&amp;$M26,Table19[WY],"&lt;="&amp;$L26)</f>
        <v>0</v>
      </c>
      <c r="W26">
        <f>SUMIFS(Table19[n],Table19[AIR2],"="&amp;W$3,Table19[WY],"&gt;="&amp;$M26,Table19[WY],"&lt;="&amp;$L26)</f>
        <v>0</v>
      </c>
      <c r="X26">
        <f>SUMIFS(Table19[n],Table19[AIR2],"="&amp;X$3,Table19[WY],"&gt;="&amp;$M26,Table19[WY],"&lt;="&amp;$L26)</f>
        <v>0</v>
      </c>
      <c r="Y26">
        <f>SUMIFS(Table19[n],Table19[AIR2],"="&amp;Y$3,Table19[WY],"&gt;="&amp;$M26,Table19[WY],"&lt;="&amp;$L26)</f>
        <v>0</v>
      </c>
      <c r="Z26">
        <f>SUMIFS(Table19[n],Table19[AIR2],"="&amp;Z$3,Table19[WY],"&gt;="&amp;$M26,Table19[WY],"&lt;="&amp;$L26)</f>
        <v>0</v>
      </c>
      <c r="AA26">
        <f>SUMIFS(Table19[n],Table19[AIR2],"="&amp;AA$3,Table19[WY],"&gt;="&amp;$M26,Table19[WY],"&lt;="&amp;$L26)</f>
        <v>0</v>
      </c>
      <c r="AB26">
        <f>SUMIFS(Table19[n],Table19[AIR2],"="&amp;AB$3,Table19[WY],"&gt;="&amp;$M26,Table19[WY],"&lt;="&amp;$L26)</f>
        <v>0</v>
      </c>
      <c r="AC26">
        <f>SUMIFS(Table19[n],Table19[AIR2],"="&amp;AC$3,Table19[WY],"&gt;="&amp;$M26,Table19[WY],"&lt;="&amp;$L26)</f>
        <v>0</v>
      </c>
      <c r="AD26">
        <f>SUMIFS(Table19[n],Table19[AIR2],"="&amp;AD$3,Table19[WY],"&gt;="&amp;$M26,Table19[WY],"&lt;="&amp;$L26)</f>
        <v>0</v>
      </c>
      <c r="AE26">
        <f>SUMIFS(Table19[n],Table19[AIR2],"="&amp;AE$3,Table19[WY],"&gt;="&amp;$M26,Table19[WY],"&lt;="&amp;$L26)</f>
        <v>0</v>
      </c>
      <c r="AF26">
        <f>SUMIFS(Table19[n],Table19[AIR2],"="&amp;AF$3,Table19[WY],"&gt;="&amp;$M26,Table19[WY],"&lt;="&amp;$L26)</f>
        <v>0</v>
      </c>
      <c r="AG26">
        <f>SUMIFS(Table19[n],Table19[AIR2],"="&amp;AG$3,Table19[WY],"&gt;="&amp;$M26,Table19[WY],"&lt;="&amp;$L26)</f>
        <v>0</v>
      </c>
      <c r="AH26">
        <f>SUMIFS(Table19[n],Table19[AIR2],"="&amp;AH$3,Table19[WY],"&gt;="&amp;$M26,Table19[WY],"&lt;="&amp;$L26)</f>
        <v>0</v>
      </c>
      <c r="AI26">
        <f>SUMIFS(Table19[n],Table19[AIR2],"="&amp;AI$3,Table19[WY],"&gt;="&amp;$M26,Table19[WY],"&lt;="&amp;$L26)</f>
        <v>0</v>
      </c>
      <c r="AJ26">
        <f>SUMIFS(Table19[n],Table19[AIR2],"="&amp;AJ$3,Table19[WY],"&gt;="&amp;$M26,Table19[WY],"&lt;="&amp;$L26)</f>
        <v>0</v>
      </c>
      <c r="AK26">
        <f>SUMIFS(Table19[n],Table19[AIR2],"="&amp;AK$3,Table19[WY],"&gt;="&amp;$M26,Table19[WY],"&lt;="&amp;$L26)</f>
        <v>0</v>
      </c>
      <c r="AL26">
        <f>SUMIFS(Table19[n],Table19[AIR2],"="&amp;AL$3,Table19[WY],"&gt;="&amp;$M26,Table19[WY],"&lt;="&amp;$L26)</f>
        <v>0</v>
      </c>
      <c r="AM26">
        <f>SUMIFS(Table19[n],Table19[AIR2],"="&amp;AM$3,Table19[WY],"&gt;="&amp;$M26,Table19[WY],"&lt;="&amp;$L26)</f>
        <v>0</v>
      </c>
      <c r="AN26">
        <f>SUMIFS(Table19[n],Table19[AIR2],"="&amp;AN$3,Table19[WY],"&gt;="&amp;$M26,Table19[WY],"&lt;="&amp;$L26)</f>
        <v>0</v>
      </c>
      <c r="AO26">
        <f>SUMIFS(Table19[n],Table19[AIR2],"="&amp;AO$3,Table19[WY],"&gt;="&amp;$M26,Table19[WY],"&lt;="&amp;$L26)</f>
        <v>0</v>
      </c>
      <c r="AP26">
        <f>SUMIFS(Table19[n],Table19[AIR2],"="&amp;AP$3,Table19[WY],"&gt;="&amp;$M26,Table19[WY],"&lt;="&amp;$L26)</f>
        <v>0</v>
      </c>
      <c r="AQ26">
        <f>SUMIFS(Table19[n],Table19[AIR2],"="&amp;AQ$3,Table19[WY],"&gt;="&amp;$M26,Table19[WY],"&lt;="&amp;$L26)</f>
        <v>1</v>
      </c>
      <c r="AR26">
        <f>SUMIFS(Table19[n],Table19[AIR2],"="&amp;AR$3,Table19[WY],"&gt;="&amp;$M26,Table19[WY],"&lt;="&amp;$L26)</f>
        <v>0</v>
      </c>
      <c r="AS26">
        <f>SUMIFS(Table19[n],Table19[AIR2],"="&amp;AS$3,Table19[WY],"&gt;="&amp;$M26,Table19[WY],"&lt;="&amp;$L26)</f>
        <v>0</v>
      </c>
      <c r="AT26">
        <f>SUMIFS(Table19[n],Table19[AIR2],"="&amp;AT$3,Table19[WY],"&gt;="&amp;$M26,Table19[WY],"&lt;="&amp;$L26)</f>
        <v>0</v>
      </c>
      <c r="AU26">
        <f>SUMIFS(Table19[n],Table19[AIR2],"="&amp;AU$3,Table19[WY],"&gt;="&amp;$M26,Table19[WY],"&lt;="&amp;$L26)</f>
        <v>0</v>
      </c>
      <c r="AV26">
        <f>SUMIFS(Table19[n],Table19[AIR2],"="&amp;AV$3,Table19[WY],"&gt;="&amp;$M26,Table19[WY],"&lt;="&amp;$L26)</f>
        <v>0</v>
      </c>
      <c r="AW26">
        <f>SUMIFS(Table19[n],Table19[AIR2],"="&amp;AW$3,Table19[WY],"&gt;="&amp;$M26,Table19[WY],"&lt;="&amp;$L26)</f>
        <v>0</v>
      </c>
      <c r="AX26">
        <f>SUMIFS(Table19[n],Table19[AIR2],"="&amp;AX$3,Table19[WY],"&gt;="&amp;$M26,Table19[WY],"&lt;="&amp;$L26)</f>
        <v>0</v>
      </c>
      <c r="AY26">
        <f>SUMIFS(Table19[n],Table19[AIR2],"="&amp;AY$3,Table19[WY],"&gt;="&amp;$M26,Table19[WY],"&lt;="&amp;$L26)</f>
        <v>0</v>
      </c>
      <c r="AZ26">
        <f>SUMIFS(Table19[n],Table19[AIR2],"="&amp;AZ$3,Table19[WY],"&gt;="&amp;$M26,Table19[WY],"&lt;="&amp;$L26)</f>
        <v>0</v>
      </c>
      <c r="BA26">
        <f>SUMIFS(Table19[n],Table19[AIR2],"="&amp;BA$3,Table19[WY],"&gt;="&amp;$M26,Table19[WY],"&lt;="&amp;$L26)</f>
        <v>0</v>
      </c>
      <c r="BB26">
        <f>SUMIFS(Table19[n],Table19[AIR2],"="&amp;BB$3,Table19[WY],"&gt;="&amp;$M26,Table19[WY],"&lt;="&amp;$L26)</f>
        <v>0</v>
      </c>
      <c r="BC26">
        <f>SUMIFS(Table19[n],Table19[AIR2],"="&amp;BC$3,Table19[WY],"&gt;="&amp;$M26,Table19[WY],"&lt;="&amp;$L26)</f>
        <v>0</v>
      </c>
      <c r="BD26">
        <f>SUMIFS(Table19[n],Table19[AIR2],"="&amp;BD$3,Table19[WY],"&gt;="&amp;$M26,Table19[WY],"&lt;="&amp;$L26)</f>
        <v>0</v>
      </c>
      <c r="BE26">
        <f>SUMIFS(Table19[n],Table19[AIR2],"="&amp;BE$3,Table19[WY],"&gt;="&amp;$M26,Table19[WY],"&lt;="&amp;$L26)</f>
        <v>0</v>
      </c>
      <c r="BF26">
        <f>SUMIFS(Table19[n],Table19[AIR2],"="&amp;BF$3,Table19[WY],"&gt;="&amp;$M26,Table19[WY],"&lt;="&amp;$L26)</f>
        <v>1</v>
      </c>
      <c r="BG26">
        <f>SUMIFS(Table19[n],Table19[AIR2],"="&amp;BG$3,Table19[WY],"&gt;="&amp;$M26,Table19[WY],"&lt;="&amp;$L26)</f>
        <v>1</v>
      </c>
    </row>
    <row r="27" spans="1:59">
      <c r="A27">
        <v>28</v>
      </c>
      <c r="B27">
        <v>202506</v>
      </c>
      <c r="C27" t="s">
        <v>271</v>
      </c>
      <c r="D27">
        <v>0</v>
      </c>
      <c r="E27">
        <v>1</v>
      </c>
      <c r="F27">
        <v>0</v>
      </c>
      <c r="G27">
        <v>1</v>
      </c>
      <c r="H27" t="s">
        <v>251</v>
      </c>
      <c r="I27">
        <v>1</v>
      </c>
    </row>
    <row r="28" spans="1:59">
      <c r="A28">
        <v>29</v>
      </c>
      <c r="B28">
        <v>202506</v>
      </c>
      <c r="C28" t="s">
        <v>423</v>
      </c>
      <c r="D28">
        <v>0</v>
      </c>
      <c r="E28">
        <v>1</v>
      </c>
      <c r="F28">
        <v>0</v>
      </c>
      <c r="G28">
        <v>1</v>
      </c>
      <c r="H28" t="s">
        <v>419</v>
      </c>
      <c r="I28">
        <v>1</v>
      </c>
      <c r="L28" s="325" t="s">
        <v>402</v>
      </c>
    </row>
    <row r="29" spans="1:59">
      <c r="A29">
        <v>30</v>
      </c>
      <c r="B29">
        <v>202507</v>
      </c>
      <c r="C29" t="s">
        <v>243</v>
      </c>
      <c r="D29">
        <v>0</v>
      </c>
      <c r="E29">
        <v>1</v>
      </c>
      <c r="F29">
        <v>0</v>
      </c>
      <c r="G29">
        <v>1</v>
      </c>
      <c r="H29" t="s">
        <v>240</v>
      </c>
      <c r="I29">
        <v>1</v>
      </c>
      <c r="L29" s="325" t="s">
        <v>366</v>
      </c>
    </row>
    <row r="30" spans="1:59">
      <c r="A30">
        <v>31</v>
      </c>
      <c r="B30">
        <v>202507</v>
      </c>
      <c r="C30" t="s">
        <v>428</v>
      </c>
      <c r="D30">
        <v>1</v>
      </c>
      <c r="E30">
        <v>0</v>
      </c>
      <c r="F30">
        <v>0</v>
      </c>
      <c r="G30">
        <v>0</v>
      </c>
      <c r="H30" t="s">
        <v>425</v>
      </c>
      <c r="I30">
        <v>1</v>
      </c>
      <c r="L30" s="337" t="s">
        <v>271</v>
      </c>
    </row>
    <row r="31" spans="1:59">
      <c r="A31">
        <v>32</v>
      </c>
      <c r="B31">
        <v>202507</v>
      </c>
      <c r="C31" t="s">
        <v>271</v>
      </c>
      <c r="D31">
        <v>0</v>
      </c>
      <c r="E31">
        <v>1</v>
      </c>
      <c r="F31">
        <v>0</v>
      </c>
      <c r="G31">
        <v>1</v>
      </c>
      <c r="H31" t="s">
        <v>251</v>
      </c>
      <c r="I31">
        <v>1</v>
      </c>
      <c r="L31" s="338" t="s">
        <v>444</v>
      </c>
    </row>
    <row r="32" spans="1:59">
      <c r="A32">
        <v>33</v>
      </c>
      <c r="B32">
        <v>202508</v>
      </c>
      <c r="C32" t="s">
        <v>402</v>
      </c>
      <c r="D32">
        <v>0</v>
      </c>
      <c r="E32">
        <v>1</v>
      </c>
      <c r="F32">
        <v>0</v>
      </c>
      <c r="G32">
        <v>0</v>
      </c>
      <c r="H32" t="s">
        <v>399</v>
      </c>
      <c r="I32">
        <v>1</v>
      </c>
      <c r="L32" s="338" t="s">
        <v>534</v>
      </c>
    </row>
    <row r="33" spans="1:12">
      <c r="A33">
        <v>34</v>
      </c>
      <c r="B33">
        <v>202508</v>
      </c>
      <c r="C33" t="s">
        <v>271</v>
      </c>
      <c r="D33">
        <v>0</v>
      </c>
      <c r="E33">
        <v>2</v>
      </c>
      <c r="F33">
        <v>0</v>
      </c>
      <c r="G33">
        <v>2</v>
      </c>
      <c r="H33" t="s">
        <v>811</v>
      </c>
      <c r="I33">
        <v>2</v>
      </c>
      <c r="L33" s="338" t="s">
        <v>525</v>
      </c>
    </row>
    <row r="34" spans="1:12">
      <c r="A34">
        <v>35</v>
      </c>
      <c r="B34">
        <v>202508</v>
      </c>
      <c r="C34" t="s">
        <v>436</v>
      </c>
      <c r="D34">
        <v>0</v>
      </c>
      <c r="E34">
        <v>1</v>
      </c>
      <c r="F34">
        <v>0</v>
      </c>
      <c r="G34">
        <v>1</v>
      </c>
      <c r="H34" t="s">
        <v>434</v>
      </c>
      <c r="I34">
        <v>1</v>
      </c>
      <c r="L34" s="338" t="s">
        <v>604</v>
      </c>
    </row>
    <row r="35" spans="1:12">
      <c r="A35">
        <v>36</v>
      </c>
      <c r="B35">
        <v>202509</v>
      </c>
      <c r="C35" t="s">
        <v>243</v>
      </c>
      <c r="D35">
        <v>0</v>
      </c>
      <c r="E35">
        <v>1</v>
      </c>
      <c r="F35">
        <v>0</v>
      </c>
      <c r="G35">
        <v>1</v>
      </c>
      <c r="H35" t="s">
        <v>240</v>
      </c>
      <c r="I35">
        <v>1</v>
      </c>
      <c r="L35" s="338" t="s">
        <v>501</v>
      </c>
    </row>
    <row r="36" spans="1:12">
      <c r="A36">
        <v>37</v>
      </c>
      <c r="B36">
        <v>202509</v>
      </c>
      <c r="C36" t="s">
        <v>444</v>
      </c>
      <c r="D36">
        <v>1</v>
      </c>
      <c r="E36">
        <v>0</v>
      </c>
      <c r="F36">
        <v>1</v>
      </c>
      <c r="G36">
        <v>0</v>
      </c>
      <c r="H36" t="s">
        <v>441</v>
      </c>
      <c r="I36">
        <v>1</v>
      </c>
      <c r="L36" s="338" t="s">
        <v>597</v>
      </c>
    </row>
    <row r="37" spans="1:12">
      <c r="A37">
        <v>38</v>
      </c>
      <c r="B37">
        <v>202510</v>
      </c>
      <c r="C37" t="s">
        <v>451</v>
      </c>
      <c r="D37">
        <v>1</v>
      </c>
      <c r="E37">
        <v>0</v>
      </c>
      <c r="F37">
        <v>1</v>
      </c>
      <c r="G37">
        <v>0</v>
      </c>
      <c r="H37" t="s">
        <v>448</v>
      </c>
      <c r="I37">
        <v>1</v>
      </c>
      <c r="L37" s="338" t="s">
        <v>477</v>
      </c>
    </row>
    <row r="38" spans="1:12">
      <c r="A38">
        <v>39</v>
      </c>
      <c r="B38">
        <v>202510</v>
      </c>
      <c r="C38" t="s">
        <v>444</v>
      </c>
      <c r="D38">
        <v>1</v>
      </c>
      <c r="E38">
        <v>0</v>
      </c>
      <c r="F38">
        <v>1</v>
      </c>
      <c r="G38">
        <v>0</v>
      </c>
      <c r="H38" t="s">
        <v>441</v>
      </c>
      <c r="I38">
        <v>1</v>
      </c>
      <c r="L38" s="338" t="s">
        <v>591</v>
      </c>
    </row>
    <row r="39" spans="1:12">
      <c r="A39">
        <v>40</v>
      </c>
      <c r="B39">
        <v>202510</v>
      </c>
      <c r="C39" t="s">
        <v>459</v>
      </c>
      <c r="D39">
        <v>1</v>
      </c>
      <c r="E39">
        <v>0</v>
      </c>
      <c r="F39">
        <v>1</v>
      </c>
      <c r="G39">
        <v>0</v>
      </c>
      <c r="H39" t="s">
        <v>455</v>
      </c>
      <c r="I39">
        <v>1</v>
      </c>
      <c r="L39" s="338">
        <v>53121688</v>
      </c>
    </row>
    <row r="40" spans="1:12">
      <c r="A40">
        <v>41</v>
      </c>
      <c r="B40">
        <v>202511</v>
      </c>
      <c r="C40" t="s">
        <v>469</v>
      </c>
      <c r="D40">
        <v>0</v>
      </c>
      <c r="E40">
        <v>1</v>
      </c>
      <c r="F40">
        <v>0</v>
      </c>
      <c r="G40">
        <v>0</v>
      </c>
      <c r="H40" t="s">
        <v>466</v>
      </c>
      <c r="I40">
        <v>1</v>
      </c>
      <c r="L40" s="338" t="s">
        <v>574</v>
      </c>
    </row>
    <row r="41" spans="1:12">
      <c r="A41">
        <v>42</v>
      </c>
      <c r="B41">
        <v>202511</v>
      </c>
      <c r="C41" t="s">
        <v>402</v>
      </c>
      <c r="D41">
        <v>1</v>
      </c>
      <c r="E41">
        <v>0</v>
      </c>
      <c r="F41">
        <v>0</v>
      </c>
      <c r="G41">
        <v>0</v>
      </c>
      <c r="H41" t="s">
        <v>399</v>
      </c>
      <c r="I41">
        <v>1</v>
      </c>
      <c r="L41" s="325" t="s">
        <v>416</v>
      </c>
    </row>
    <row r="42" spans="1:12">
      <c r="A42">
        <v>43</v>
      </c>
      <c r="B42">
        <v>202511</v>
      </c>
      <c r="C42" t="s">
        <v>465</v>
      </c>
      <c r="D42">
        <v>0</v>
      </c>
      <c r="E42">
        <v>1</v>
      </c>
      <c r="F42">
        <v>0</v>
      </c>
      <c r="G42">
        <v>0</v>
      </c>
      <c r="H42" t="s">
        <v>462</v>
      </c>
      <c r="I42">
        <v>1</v>
      </c>
      <c r="L42" s="341" t="s">
        <v>451</v>
      </c>
    </row>
    <row r="43" spans="1:12">
      <c r="A43">
        <v>44</v>
      </c>
      <c r="B43">
        <v>202511</v>
      </c>
      <c r="C43" t="s">
        <v>473</v>
      </c>
      <c r="D43">
        <v>1</v>
      </c>
      <c r="E43">
        <v>0</v>
      </c>
      <c r="F43">
        <v>1</v>
      </c>
      <c r="G43">
        <v>0</v>
      </c>
      <c r="H43" t="s">
        <v>470</v>
      </c>
      <c r="I43">
        <v>1</v>
      </c>
    </row>
    <row r="44" spans="1:12">
      <c r="A44">
        <v>45</v>
      </c>
      <c r="B44">
        <v>202511</v>
      </c>
      <c r="C44" t="s">
        <v>271</v>
      </c>
      <c r="D44">
        <v>0</v>
      </c>
      <c r="E44">
        <v>3</v>
      </c>
      <c r="F44">
        <v>0</v>
      </c>
      <c r="G44">
        <v>3</v>
      </c>
      <c r="H44" t="s">
        <v>251</v>
      </c>
      <c r="I44">
        <v>3</v>
      </c>
    </row>
    <row r="45" spans="1:12">
      <c r="A45">
        <v>46</v>
      </c>
      <c r="B45">
        <v>202511</v>
      </c>
      <c r="C45" t="s">
        <v>477</v>
      </c>
      <c r="D45">
        <v>0</v>
      </c>
      <c r="E45">
        <v>1</v>
      </c>
      <c r="F45">
        <v>0</v>
      </c>
      <c r="G45">
        <v>1</v>
      </c>
      <c r="H45" t="s">
        <v>186</v>
      </c>
      <c r="I45">
        <v>1</v>
      </c>
    </row>
    <row r="46" spans="1:12">
      <c r="A46">
        <v>47</v>
      </c>
      <c r="B46">
        <v>202512</v>
      </c>
      <c r="C46" t="s">
        <v>490</v>
      </c>
      <c r="D46">
        <v>1</v>
      </c>
      <c r="E46">
        <v>0</v>
      </c>
      <c r="F46">
        <v>1</v>
      </c>
      <c r="G46">
        <v>0</v>
      </c>
      <c r="H46" t="s">
        <v>488</v>
      </c>
      <c r="I46">
        <v>1</v>
      </c>
    </row>
    <row r="47" spans="1:12">
      <c r="A47">
        <v>48</v>
      </c>
      <c r="B47">
        <v>202512</v>
      </c>
      <c r="C47" t="s">
        <v>444</v>
      </c>
      <c r="D47">
        <v>2</v>
      </c>
      <c r="E47">
        <v>0</v>
      </c>
      <c r="F47">
        <v>1</v>
      </c>
      <c r="G47">
        <v>0</v>
      </c>
      <c r="H47" t="s">
        <v>441</v>
      </c>
      <c r="I47">
        <v>2</v>
      </c>
    </row>
    <row r="48" spans="1:12">
      <c r="A48">
        <v>49</v>
      </c>
      <c r="B48">
        <v>202512</v>
      </c>
      <c r="C48" t="s">
        <v>494</v>
      </c>
      <c r="D48">
        <v>0</v>
      </c>
      <c r="E48">
        <v>2</v>
      </c>
      <c r="F48">
        <v>0</v>
      </c>
      <c r="G48">
        <v>1</v>
      </c>
      <c r="H48" t="s">
        <v>812</v>
      </c>
      <c r="I48">
        <v>2</v>
      </c>
    </row>
    <row r="49" spans="1:9">
      <c r="A49">
        <v>50</v>
      </c>
      <c r="B49">
        <v>202513</v>
      </c>
      <c r="C49" t="s">
        <v>501</v>
      </c>
      <c r="D49">
        <v>1</v>
      </c>
      <c r="E49">
        <v>0</v>
      </c>
      <c r="F49">
        <v>1</v>
      </c>
      <c r="G49">
        <v>0</v>
      </c>
      <c r="H49" t="s">
        <v>497</v>
      </c>
      <c r="I49">
        <v>1</v>
      </c>
    </row>
    <row r="50" spans="1:9">
      <c r="A50">
        <v>51</v>
      </c>
      <c r="B50">
        <v>202513</v>
      </c>
      <c r="C50" t="s">
        <v>510</v>
      </c>
      <c r="D50">
        <v>0</v>
      </c>
      <c r="E50">
        <v>1</v>
      </c>
      <c r="F50">
        <v>0</v>
      </c>
      <c r="G50">
        <v>1</v>
      </c>
      <c r="H50" t="s">
        <v>506</v>
      </c>
      <c r="I50">
        <v>1</v>
      </c>
    </row>
    <row r="51" spans="1:9">
      <c r="A51">
        <v>52</v>
      </c>
      <c r="B51">
        <v>202513</v>
      </c>
      <c r="C51" t="s">
        <v>505</v>
      </c>
      <c r="D51">
        <v>1</v>
      </c>
      <c r="E51">
        <v>0</v>
      </c>
      <c r="F51">
        <v>1</v>
      </c>
      <c r="G51">
        <v>0</v>
      </c>
      <c r="H51" t="s">
        <v>502</v>
      </c>
      <c r="I51">
        <v>1</v>
      </c>
    </row>
    <row r="52" spans="1:9">
      <c r="A52">
        <v>53</v>
      </c>
      <c r="B52">
        <v>202514</v>
      </c>
      <c r="C52" t="s">
        <v>416</v>
      </c>
      <c r="D52">
        <v>0</v>
      </c>
      <c r="E52">
        <v>1</v>
      </c>
      <c r="F52">
        <v>0</v>
      </c>
      <c r="G52">
        <v>1</v>
      </c>
      <c r="H52" t="s">
        <v>186</v>
      </c>
      <c r="I52">
        <v>1</v>
      </c>
    </row>
    <row r="53" spans="1:9">
      <c r="A53">
        <v>54</v>
      </c>
      <c r="B53">
        <v>202514</v>
      </c>
      <c r="C53" t="s">
        <v>451</v>
      </c>
      <c r="D53">
        <v>1</v>
      </c>
      <c r="E53">
        <v>0</v>
      </c>
      <c r="F53">
        <v>1</v>
      </c>
      <c r="G53">
        <v>0</v>
      </c>
      <c r="H53" t="s">
        <v>448</v>
      </c>
      <c r="I53">
        <v>1</v>
      </c>
    </row>
    <row r="54" spans="1:9">
      <c r="A54">
        <v>55</v>
      </c>
      <c r="B54">
        <v>202514</v>
      </c>
      <c r="C54" t="s">
        <v>525</v>
      </c>
      <c r="D54">
        <v>2</v>
      </c>
      <c r="E54">
        <v>0</v>
      </c>
      <c r="F54">
        <v>2</v>
      </c>
      <c r="G54">
        <v>0</v>
      </c>
      <c r="H54" t="s">
        <v>342</v>
      </c>
      <c r="I54">
        <v>2</v>
      </c>
    </row>
    <row r="55" spans="1:9">
      <c r="A55">
        <v>56</v>
      </c>
      <c r="B55">
        <v>202514</v>
      </c>
      <c r="C55" t="s">
        <v>444</v>
      </c>
      <c r="D55">
        <v>3</v>
      </c>
      <c r="E55">
        <v>0</v>
      </c>
      <c r="F55">
        <v>3</v>
      </c>
      <c r="G55">
        <v>0</v>
      </c>
      <c r="H55" t="s">
        <v>441</v>
      </c>
      <c r="I55">
        <v>3</v>
      </c>
    </row>
    <row r="56" spans="1:9">
      <c r="A56">
        <v>57</v>
      </c>
      <c r="B56">
        <v>202514</v>
      </c>
      <c r="C56" t="s">
        <v>521</v>
      </c>
      <c r="D56">
        <v>1</v>
      </c>
      <c r="E56">
        <v>0</v>
      </c>
      <c r="F56">
        <v>1</v>
      </c>
      <c r="G56">
        <v>0</v>
      </c>
      <c r="H56" t="s">
        <v>164</v>
      </c>
      <c r="I56">
        <v>1</v>
      </c>
    </row>
    <row r="57" spans="1:9">
      <c r="A57">
        <v>58</v>
      </c>
      <c r="B57">
        <v>202514</v>
      </c>
      <c r="C57" t="s">
        <v>534</v>
      </c>
      <c r="D57">
        <v>0</v>
      </c>
      <c r="E57">
        <v>3</v>
      </c>
      <c r="F57">
        <v>0</v>
      </c>
      <c r="G57">
        <v>3</v>
      </c>
      <c r="H57" t="s">
        <v>531</v>
      </c>
      <c r="I57">
        <v>3</v>
      </c>
    </row>
    <row r="58" spans="1:9">
      <c r="A58">
        <v>59</v>
      </c>
      <c r="B58">
        <v>202515</v>
      </c>
      <c r="C58" t="s">
        <v>525</v>
      </c>
      <c r="D58">
        <v>1</v>
      </c>
      <c r="E58">
        <v>0</v>
      </c>
      <c r="F58">
        <v>1</v>
      </c>
      <c r="G58">
        <v>0</v>
      </c>
      <c r="H58" t="s">
        <v>342</v>
      </c>
      <c r="I58">
        <v>1</v>
      </c>
    </row>
    <row r="59" spans="1:9">
      <c r="A59">
        <v>60</v>
      </c>
      <c r="B59">
        <v>202515</v>
      </c>
      <c r="C59" t="s">
        <v>547</v>
      </c>
      <c r="D59">
        <v>0</v>
      </c>
      <c r="E59">
        <v>1</v>
      </c>
      <c r="F59">
        <v>0</v>
      </c>
      <c r="G59">
        <v>0</v>
      </c>
      <c r="H59" t="s">
        <v>544</v>
      </c>
      <c r="I59">
        <v>1</v>
      </c>
    </row>
    <row r="60" spans="1:9">
      <c r="A60">
        <v>61</v>
      </c>
      <c r="B60">
        <v>202515</v>
      </c>
      <c r="C60" t="s">
        <v>534</v>
      </c>
      <c r="D60">
        <v>0</v>
      </c>
      <c r="E60">
        <v>1</v>
      </c>
      <c r="F60">
        <v>0</v>
      </c>
      <c r="G60">
        <v>1</v>
      </c>
      <c r="H60" t="s">
        <v>541</v>
      </c>
      <c r="I60">
        <v>1</v>
      </c>
    </row>
    <row r="61" spans="1:9">
      <c r="A61">
        <v>62</v>
      </c>
      <c r="B61">
        <v>202516</v>
      </c>
      <c r="C61" t="s">
        <v>402</v>
      </c>
      <c r="D61">
        <v>1</v>
      </c>
      <c r="E61">
        <v>0</v>
      </c>
      <c r="F61">
        <v>0</v>
      </c>
      <c r="G61">
        <v>0</v>
      </c>
      <c r="H61" t="s">
        <v>399</v>
      </c>
      <c r="I61">
        <v>1</v>
      </c>
    </row>
    <row r="62" spans="1:9">
      <c r="A62">
        <v>63</v>
      </c>
      <c r="B62">
        <v>202516</v>
      </c>
      <c r="C62" t="s">
        <v>554</v>
      </c>
      <c r="D62">
        <v>1</v>
      </c>
      <c r="E62">
        <v>0</v>
      </c>
      <c r="F62">
        <v>0</v>
      </c>
      <c r="G62">
        <v>0</v>
      </c>
      <c r="H62" t="s">
        <v>441</v>
      </c>
      <c r="I62">
        <v>1</v>
      </c>
    </row>
    <row r="63" spans="1:9">
      <c r="A63">
        <v>64</v>
      </c>
      <c r="B63">
        <v>202516</v>
      </c>
      <c r="C63" t="s">
        <v>551</v>
      </c>
      <c r="D63">
        <v>0</v>
      </c>
      <c r="E63">
        <v>1</v>
      </c>
      <c r="F63">
        <v>0</v>
      </c>
      <c r="G63">
        <v>1</v>
      </c>
      <c r="H63" t="s">
        <v>548</v>
      </c>
      <c r="I63">
        <v>1</v>
      </c>
    </row>
    <row r="64" spans="1:9">
      <c r="A64">
        <v>65</v>
      </c>
      <c r="B64">
        <v>202517</v>
      </c>
      <c r="C64">
        <v>53121688</v>
      </c>
      <c r="D64">
        <v>1</v>
      </c>
      <c r="E64">
        <v>0</v>
      </c>
      <c r="F64">
        <v>1</v>
      </c>
      <c r="G64">
        <v>0</v>
      </c>
      <c r="H64" t="s">
        <v>557</v>
      </c>
      <c r="I64">
        <v>1</v>
      </c>
    </row>
    <row r="65" spans="1:9">
      <c r="A65">
        <v>66</v>
      </c>
      <c r="B65">
        <v>202517</v>
      </c>
      <c r="C65" t="s">
        <v>402</v>
      </c>
      <c r="D65">
        <v>1</v>
      </c>
      <c r="E65">
        <v>0</v>
      </c>
      <c r="F65">
        <v>0</v>
      </c>
      <c r="G65">
        <v>0</v>
      </c>
      <c r="H65" t="s">
        <v>399</v>
      </c>
      <c r="I65">
        <v>1</v>
      </c>
    </row>
    <row r="66" spans="1:9">
      <c r="A66">
        <v>67</v>
      </c>
      <c r="B66">
        <v>202517</v>
      </c>
      <c r="C66" t="s">
        <v>565</v>
      </c>
      <c r="D66">
        <v>0</v>
      </c>
      <c r="E66">
        <v>1</v>
      </c>
      <c r="F66">
        <v>0</v>
      </c>
      <c r="G66">
        <v>1</v>
      </c>
      <c r="H66" t="s">
        <v>562</v>
      </c>
      <c r="I66">
        <v>1</v>
      </c>
    </row>
    <row r="67" spans="1:9">
      <c r="A67">
        <v>68</v>
      </c>
      <c r="B67">
        <v>202517</v>
      </c>
      <c r="C67" t="s">
        <v>444</v>
      </c>
      <c r="D67">
        <v>1</v>
      </c>
      <c r="E67">
        <v>0</v>
      </c>
      <c r="F67">
        <v>0</v>
      </c>
      <c r="G67">
        <v>0</v>
      </c>
      <c r="H67" t="s">
        <v>441</v>
      </c>
      <c r="I67">
        <v>1</v>
      </c>
    </row>
    <row r="68" spans="1:9">
      <c r="A68">
        <v>69</v>
      </c>
      <c r="B68">
        <v>202518</v>
      </c>
      <c r="C68" t="s">
        <v>402</v>
      </c>
      <c r="D68">
        <v>1</v>
      </c>
      <c r="E68">
        <v>1</v>
      </c>
      <c r="F68">
        <v>0</v>
      </c>
      <c r="G68">
        <v>0</v>
      </c>
      <c r="H68" t="s">
        <v>813</v>
      </c>
      <c r="I68">
        <v>2</v>
      </c>
    </row>
    <row r="69" spans="1:9">
      <c r="A69">
        <v>70</v>
      </c>
      <c r="B69">
        <v>202518</v>
      </c>
      <c r="C69" t="s">
        <v>574</v>
      </c>
      <c r="D69">
        <v>1</v>
      </c>
      <c r="E69">
        <v>0</v>
      </c>
      <c r="F69">
        <v>1</v>
      </c>
      <c r="G69">
        <v>0</v>
      </c>
      <c r="H69" t="s">
        <v>572</v>
      </c>
      <c r="I69">
        <v>1</v>
      </c>
    </row>
    <row r="70" spans="1:9">
      <c r="A70">
        <v>71</v>
      </c>
      <c r="B70">
        <v>202519</v>
      </c>
      <c r="C70" t="s">
        <v>582</v>
      </c>
      <c r="D70">
        <v>1</v>
      </c>
      <c r="E70">
        <v>0</v>
      </c>
      <c r="F70">
        <v>0</v>
      </c>
      <c r="G70">
        <v>0</v>
      </c>
      <c r="H70" t="s">
        <v>579</v>
      </c>
      <c r="I70">
        <v>1</v>
      </c>
    </row>
    <row r="71" spans="1:9">
      <c r="A71">
        <v>72</v>
      </c>
      <c r="B71">
        <v>202519</v>
      </c>
      <c r="C71" t="s">
        <v>585</v>
      </c>
      <c r="D71">
        <v>1</v>
      </c>
      <c r="E71">
        <v>0</v>
      </c>
      <c r="F71">
        <v>1</v>
      </c>
      <c r="G71">
        <v>0</v>
      </c>
      <c r="H71" t="s">
        <v>583</v>
      </c>
      <c r="I71">
        <v>1</v>
      </c>
    </row>
    <row r="72" spans="1:9">
      <c r="A72">
        <v>73</v>
      </c>
      <c r="B72">
        <v>202520</v>
      </c>
      <c r="C72" t="s">
        <v>444</v>
      </c>
      <c r="D72">
        <v>1</v>
      </c>
      <c r="E72">
        <v>0</v>
      </c>
      <c r="F72">
        <v>0</v>
      </c>
      <c r="G72">
        <v>0</v>
      </c>
      <c r="H72" t="s">
        <v>441</v>
      </c>
      <c r="I72">
        <v>1</v>
      </c>
    </row>
    <row r="73" spans="1:9">
      <c r="A73">
        <v>74</v>
      </c>
      <c r="B73">
        <v>202520</v>
      </c>
      <c r="C73" t="s">
        <v>477</v>
      </c>
      <c r="D73">
        <v>0</v>
      </c>
      <c r="E73">
        <v>1</v>
      </c>
      <c r="F73">
        <v>0</v>
      </c>
      <c r="G73">
        <v>1</v>
      </c>
      <c r="H73" t="s">
        <v>186</v>
      </c>
      <c r="I73">
        <v>1</v>
      </c>
    </row>
    <row r="74" spans="1:9">
      <c r="A74">
        <v>75</v>
      </c>
      <c r="B74">
        <v>202520</v>
      </c>
      <c r="C74" t="s">
        <v>591</v>
      </c>
      <c r="D74">
        <v>0</v>
      </c>
      <c r="E74">
        <v>2</v>
      </c>
      <c r="F74">
        <v>0</v>
      </c>
      <c r="G74">
        <v>2</v>
      </c>
      <c r="H74" t="s">
        <v>814</v>
      </c>
      <c r="I74">
        <v>2</v>
      </c>
    </row>
    <row r="75" spans="1:9">
      <c r="A75">
        <v>76</v>
      </c>
      <c r="B75">
        <v>202521</v>
      </c>
      <c r="C75" t="s">
        <v>597</v>
      </c>
      <c r="D75">
        <v>1</v>
      </c>
      <c r="E75">
        <v>1</v>
      </c>
      <c r="F75">
        <v>1</v>
      </c>
      <c r="G75">
        <v>1</v>
      </c>
      <c r="H75" t="s">
        <v>815</v>
      </c>
      <c r="I75">
        <v>2</v>
      </c>
    </row>
    <row r="76" spans="1:9">
      <c r="A76">
        <v>77</v>
      </c>
      <c r="B76">
        <v>202521</v>
      </c>
      <c r="C76" t="s">
        <v>271</v>
      </c>
      <c r="D76">
        <v>0</v>
      </c>
      <c r="E76">
        <v>1</v>
      </c>
      <c r="F76">
        <v>0</v>
      </c>
      <c r="G76">
        <v>1</v>
      </c>
      <c r="H76" t="s">
        <v>280</v>
      </c>
      <c r="I76">
        <v>1</v>
      </c>
    </row>
    <row r="77" spans="1:9">
      <c r="A77">
        <v>78</v>
      </c>
      <c r="B77">
        <v>202521</v>
      </c>
      <c r="C77" t="s">
        <v>604</v>
      </c>
      <c r="D77">
        <v>2</v>
      </c>
      <c r="E77">
        <v>0</v>
      </c>
      <c r="F77">
        <v>2</v>
      </c>
      <c r="G77">
        <v>0</v>
      </c>
      <c r="H77" t="s">
        <v>601</v>
      </c>
      <c r="I77">
        <v>2</v>
      </c>
    </row>
    <row r="78" spans="1:9">
      <c r="A78">
        <v>79</v>
      </c>
      <c r="B78">
        <v>202522</v>
      </c>
      <c r="C78" t="s">
        <v>501</v>
      </c>
      <c r="D78">
        <v>0</v>
      </c>
      <c r="E78">
        <v>1</v>
      </c>
      <c r="F78">
        <v>0</v>
      </c>
      <c r="G78">
        <v>1</v>
      </c>
      <c r="H78" t="s">
        <v>497</v>
      </c>
      <c r="I78">
        <v>1</v>
      </c>
    </row>
    <row r="79" spans="1:9">
      <c r="A79">
        <v>80</v>
      </c>
      <c r="B79">
        <v>202522</v>
      </c>
      <c r="C79" t="s">
        <v>604</v>
      </c>
      <c r="D79">
        <v>1</v>
      </c>
      <c r="E79">
        <v>0</v>
      </c>
      <c r="F79">
        <v>1</v>
      </c>
      <c r="G79">
        <v>0</v>
      </c>
      <c r="H79" t="s">
        <v>601</v>
      </c>
      <c r="I79">
        <v>1</v>
      </c>
    </row>
    <row r="80" spans="1:9">
      <c r="A80">
        <v>81</v>
      </c>
      <c r="B80">
        <v>202523</v>
      </c>
      <c r="C80">
        <v>53161866</v>
      </c>
      <c r="D80">
        <v>0</v>
      </c>
      <c r="E80">
        <v>0</v>
      </c>
      <c r="F80">
        <v>0</v>
      </c>
      <c r="G80">
        <v>0</v>
      </c>
      <c r="H80" t="s">
        <v>163</v>
      </c>
      <c r="I80">
        <v>1</v>
      </c>
    </row>
    <row r="81" spans="1:9">
      <c r="A81">
        <v>82</v>
      </c>
      <c r="B81">
        <v>202523</v>
      </c>
      <c r="C81" t="s">
        <v>610</v>
      </c>
      <c r="D81">
        <v>0</v>
      </c>
      <c r="E81">
        <v>0</v>
      </c>
      <c r="F81">
        <v>0</v>
      </c>
      <c r="G81">
        <v>0</v>
      </c>
      <c r="H81" t="s">
        <v>608</v>
      </c>
      <c r="I81">
        <v>1</v>
      </c>
    </row>
    <row r="89" spans="1:9">
      <c r="C89" s="325"/>
    </row>
    <row r="90" spans="1:9">
      <c r="C90" s="341"/>
    </row>
    <row r="91" spans="1:9">
      <c r="C91" s="325"/>
    </row>
    <row r="92" spans="1:9">
      <c r="C92" s="341"/>
    </row>
    <row r="93" spans="1:9">
      <c r="C93" s="325"/>
    </row>
    <row r="94" spans="1:9">
      <c r="C94" s="341"/>
    </row>
    <row r="95" spans="1:9">
      <c r="C95" s="341"/>
    </row>
    <row r="96" spans="1:9">
      <c r="C96" s="325"/>
    </row>
    <row r="97" spans="3:3">
      <c r="C97" s="341"/>
    </row>
    <row r="98" spans="3:3">
      <c r="C98" s="325"/>
    </row>
    <row r="99" spans="3:3">
      <c r="C99" s="341"/>
    </row>
    <row r="100" spans="3:3">
      <c r="C100" s="325"/>
    </row>
    <row r="101" spans="3:3">
      <c r="C101" s="341"/>
    </row>
    <row r="102" spans="3:3">
      <c r="C102" s="341"/>
    </row>
    <row r="103" spans="3:3">
      <c r="C103" s="325"/>
    </row>
    <row r="104" spans="3:3">
      <c r="C104" s="341"/>
    </row>
    <row r="105" spans="3:3">
      <c r="C105" s="325"/>
    </row>
    <row r="106" spans="3:3">
      <c r="C106" s="325"/>
    </row>
    <row r="107" spans="3:3">
      <c r="C107" s="325"/>
    </row>
    <row r="108" spans="3:3">
      <c r="C108" s="325"/>
    </row>
    <row r="109" spans="3:3">
      <c r="C109" s="325"/>
    </row>
    <row r="110" spans="3:3">
      <c r="C110" s="341"/>
    </row>
    <row r="111" spans="3:3">
      <c r="C111" s="341"/>
    </row>
    <row r="112" spans="3:3">
      <c r="C112" s="325"/>
    </row>
    <row r="113" spans="3:3">
      <c r="C113" s="325"/>
    </row>
    <row r="114" spans="3:3">
      <c r="C114" s="341"/>
    </row>
    <row r="115" spans="3:3">
      <c r="C115" s="341"/>
    </row>
    <row r="116" spans="3:3">
      <c r="C116" s="325"/>
    </row>
    <row r="117" spans="3:3">
      <c r="C117" s="325"/>
    </row>
    <row r="118" spans="3:3">
      <c r="C118" s="341"/>
    </row>
    <row r="119" spans="3:3">
      <c r="C119" s="325"/>
    </row>
    <row r="120" spans="3:3">
      <c r="C120" s="341"/>
    </row>
    <row r="121" spans="3:3">
      <c r="C121" s="325"/>
    </row>
    <row r="122" spans="3:3">
      <c r="C122" s="325"/>
    </row>
    <row r="123" spans="3:3">
      <c r="C123" s="341"/>
    </row>
    <row r="124" spans="3:3">
      <c r="C124" s="341"/>
    </row>
    <row r="125" spans="3:3">
      <c r="C125" s="325"/>
    </row>
    <row r="126" spans="3:3">
      <c r="C126" s="341"/>
    </row>
    <row r="127" spans="3:3">
      <c r="C127" s="325"/>
    </row>
    <row r="128" spans="3:3">
      <c r="C128" s="341"/>
    </row>
    <row r="129" spans="3:3">
      <c r="C129" s="325"/>
    </row>
    <row r="130" spans="3:3">
      <c r="C130" s="341"/>
    </row>
    <row r="131" spans="3:3">
      <c r="C131" s="325"/>
    </row>
    <row r="132" spans="3:3">
      <c r="C132" s="341"/>
    </row>
    <row r="133" spans="3:3">
      <c r="C133" s="341"/>
    </row>
    <row r="134" spans="3:3">
      <c r="C134" s="341"/>
    </row>
  </sheetData>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333BA-9E03-4C69-8329-E9ABF30616BA}">
  <dimension ref="A1:S77"/>
  <sheetViews>
    <sheetView topLeftCell="A2" zoomScale="90" zoomScaleNormal="100" workbookViewId="0">
      <selection activeCell="D83" sqref="D83"/>
    </sheetView>
  </sheetViews>
  <sheetFormatPr defaultRowHeight="15"/>
  <cols>
    <col min="1" max="1" width="8.85546875" bestFit="1" customWidth="1"/>
    <col min="2" max="2" width="13.140625" customWidth="1"/>
    <col min="3" max="3" width="18.140625" customWidth="1"/>
    <col min="4" max="4" width="13.5703125" customWidth="1"/>
    <col min="5" max="6" width="9.85546875" customWidth="1"/>
    <col min="7" max="7" width="9.85546875" style="37" bestFit="1" customWidth="1"/>
    <col min="8" max="8" width="42.140625" customWidth="1"/>
    <col min="9" max="9" width="182.5703125" style="37" bestFit="1" customWidth="1"/>
    <col min="10" max="10" width="102.140625" bestFit="1" customWidth="1"/>
    <col min="11" max="11" width="47" style="43" bestFit="1" customWidth="1"/>
    <col min="12" max="12" width="21.85546875" customWidth="1"/>
    <col min="13" max="13" width="9.5703125" bestFit="1" customWidth="1"/>
  </cols>
  <sheetData>
    <row r="1" spans="2:19" hidden="1">
      <c r="B1" t="s">
        <v>816</v>
      </c>
    </row>
    <row r="2" spans="2:19">
      <c r="B2" s="187"/>
      <c r="C2" s="187"/>
      <c r="D2" s="187"/>
      <c r="E2" s="187"/>
      <c r="F2" s="187"/>
      <c r="G2" s="187"/>
      <c r="H2" s="187"/>
      <c r="I2" s="187"/>
      <c r="J2" s="187"/>
      <c r="K2" s="191"/>
    </row>
    <row r="3" spans="2:19">
      <c r="B3" s="187"/>
      <c r="C3" s="197" t="s">
        <v>817</v>
      </c>
      <c r="D3" s="189"/>
      <c r="E3" s="200" t="s">
        <v>818</v>
      </c>
      <c r="F3" s="190"/>
      <c r="G3" s="219" t="s">
        <v>819</v>
      </c>
      <c r="H3" s="190"/>
      <c r="I3" s="236" t="s">
        <v>820</v>
      </c>
      <c r="J3" s="191"/>
      <c r="K3" s="191"/>
      <c r="Q3" s="5"/>
    </row>
    <row r="4" spans="2:19">
      <c r="B4" s="192" t="s">
        <v>821</v>
      </c>
      <c r="C4" s="188" t="s">
        <v>4</v>
      </c>
      <c r="D4" s="189" t="s">
        <v>7</v>
      </c>
      <c r="E4" s="188" t="s">
        <v>4</v>
      </c>
      <c r="F4" s="189" t="s">
        <v>7</v>
      </c>
      <c r="G4" s="188" t="s">
        <v>4</v>
      </c>
      <c r="H4" s="189" t="s">
        <v>7</v>
      </c>
      <c r="I4" s="188" t="s">
        <v>4</v>
      </c>
      <c r="J4" s="193" t="s">
        <v>7</v>
      </c>
      <c r="K4" s="191" t="s">
        <v>8</v>
      </c>
    </row>
    <row r="5" spans="2:19">
      <c r="B5" s="37" t="s">
        <v>822</v>
      </c>
      <c r="C5" s="37" t="s">
        <v>823</v>
      </c>
      <c r="D5" s="37" t="s">
        <v>824</v>
      </c>
      <c r="E5" s="202">
        <v>46</v>
      </c>
      <c r="F5" s="202">
        <v>35.1</v>
      </c>
      <c r="G5" s="202">
        <v>103</v>
      </c>
      <c r="H5" s="202">
        <v>77</v>
      </c>
      <c r="I5" s="183" t="s">
        <v>825</v>
      </c>
      <c r="J5" s="184" t="s">
        <v>826</v>
      </c>
      <c r="K5" s="249">
        <v>0</v>
      </c>
      <c r="R5" s="35"/>
      <c r="S5" s="35"/>
    </row>
    <row r="6" spans="2:19">
      <c r="B6" s="37" t="s">
        <v>827</v>
      </c>
      <c r="C6" s="37" t="s">
        <v>828</v>
      </c>
      <c r="D6" s="37" t="s">
        <v>829</v>
      </c>
      <c r="E6" s="202">
        <v>62.5</v>
      </c>
      <c r="F6" s="202">
        <v>66.2</v>
      </c>
      <c r="G6" s="202">
        <v>126</v>
      </c>
      <c r="H6" s="202">
        <v>97</v>
      </c>
      <c r="I6" s="185" t="s">
        <v>830</v>
      </c>
      <c r="J6" s="186" t="s">
        <v>831</v>
      </c>
      <c r="K6" s="249">
        <v>0</v>
      </c>
      <c r="R6" s="35"/>
      <c r="S6" s="35"/>
    </row>
    <row r="7" spans="2:19">
      <c r="B7" s="89" t="s">
        <v>832</v>
      </c>
      <c r="C7" s="89" t="s">
        <v>833</v>
      </c>
      <c r="D7" s="89" t="s">
        <v>834</v>
      </c>
      <c r="E7" s="93">
        <v>46.3</v>
      </c>
      <c r="F7" s="93">
        <v>85</v>
      </c>
      <c r="G7" s="93">
        <v>110</v>
      </c>
      <c r="H7" s="93">
        <v>140</v>
      </c>
      <c r="I7" s="198" t="s">
        <v>835</v>
      </c>
      <c r="J7" s="199" t="s">
        <v>835</v>
      </c>
      <c r="K7" s="249">
        <v>0</v>
      </c>
      <c r="R7" s="35"/>
      <c r="S7" s="35"/>
    </row>
    <row r="8" spans="2:19">
      <c r="B8" s="89" t="s">
        <v>836</v>
      </c>
      <c r="C8" s="89" t="s">
        <v>837</v>
      </c>
      <c r="D8" s="89" t="s">
        <v>838</v>
      </c>
      <c r="E8" s="93">
        <v>62</v>
      </c>
      <c r="F8" s="93">
        <v>78</v>
      </c>
      <c r="G8" s="93">
        <v>124</v>
      </c>
      <c r="H8" s="93">
        <v>112</v>
      </c>
      <c r="I8" s="198" t="s">
        <v>839</v>
      </c>
      <c r="J8" s="199" t="s">
        <v>840</v>
      </c>
      <c r="K8" s="249">
        <v>0</v>
      </c>
      <c r="R8" s="35"/>
      <c r="S8" s="35"/>
    </row>
    <row r="9" spans="2:19">
      <c r="B9" s="89" t="s">
        <v>841</v>
      </c>
      <c r="C9" s="89" t="s">
        <v>842</v>
      </c>
      <c r="D9" s="89" t="s">
        <v>843</v>
      </c>
      <c r="E9" s="93">
        <v>47.8</v>
      </c>
      <c r="F9" s="93">
        <v>78.7</v>
      </c>
      <c r="G9" s="93">
        <v>152</v>
      </c>
      <c r="H9" s="93">
        <v>122</v>
      </c>
      <c r="I9" s="198" t="s">
        <v>844</v>
      </c>
      <c r="J9" s="199" t="s">
        <v>845</v>
      </c>
      <c r="K9" s="249">
        <v>0</v>
      </c>
      <c r="R9" s="35"/>
      <c r="S9" s="35"/>
    </row>
    <row r="10" spans="2:19">
      <c r="B10" s="89" t="s">
        <v>846</v>
      </c>
      <c r="C10" s="89" t="s">
        <v>847</v>
      </c>
      <c r="D10" s="89" t="s">
        <v>848</v>
      </c>
      <c r="E10" s="93">
        <v>21.5</v>
      </c>
      <c r="F10" s="93">
        <v>101.5</v>
      </c>
      <c r="G10" s="93">
        <f>34*158/100</f>
        <v>53.72</v>
      </c>
      <c r="H10" s="93">
        <f>85.5*158/100</f>
        <v>135.09</v>
      </c>
      <c r="I10" s="198" t="s">
        <v>849</v>
      </c>
      <c r="J10" s="199" t="s">
        <v>850</v>
      </c>
      <c r="K10" s="249">
        <v>0</v>
      </c>
      <c r="R10" s="35"/>
      <c r="S10" s="35"/>
    </row>
    <row r="11" spans="2:19">
      <c r="B11" s="89" t="s">
        <v>851</v>
      </c>
      <c r="C11" s="89" t="s">
        <v>852</v>
      </c>
      <c r="D11" s="89" t="s">
        <v>853</v>
      </c>
      <c r="E11" s="93">
        <v>66.8</v>
      </c>
      <c r="F11" s="93">
        <v>87</v>
      </c>
      <c r="G11" s="93">
        <v>127</v>
      </c>
      <c r="H11" s="93">
        <v>124</v>
      </c>
      <c r="I11" s="198" t="s">
        <v>835</v>
      </c>
      <c r="J11" s="199" t="s">
        <v>850</v>
      </c>
      <c r="K11" s="249">
        <v>0</v>
      </c>
      <c r="R11" s="35"/>
      <c r="S11" s="35"/>
    </row>
    <row r="12" spans="2:19">
      <c r="B12" s="89" t="s">
        <v>854</v>
      </c>
      <c r="C12" s="89" t="s">
        <v>855</v>
      </c>
      <c r="D12" s="89" t="s">
        <v>856</v>
      </c>
      <c r="E12" s="93">
        <v>100</v>
      </c>
      <c r="F12" s="93">
        <v>73</v>
      </c>
      <c r="G12" s="93">
        <v>139</v>
      </c>
      <c r="H12" s="93">
        <v>114</v>
      </c>
      <c r="I12" s="198" t="s">
        <v>857</v>
      </c>
      <c r="J12" s="199" t="s">
        <v>858</v>
      </c>
      <c r="K12" s="249">
        <v>0</v>
      </c>
      <c r="R12" s="35"/>
      <c r="S12" s="35"/>
    </row>
    <row r="13" spans="2:19">
      <c r="B13" s="89" t="s">
        <v>859</v>
      </c>
      <c r="C13" s="89" t="s">
        <v>860</v>
      </c>
      <c r="D13" s="89" t="s">
        <v>861</v>
      </c>
      <c r="E13" s="93">
        <v>24</v>
      </c>
      <c r="F13" s="93">
        <v>100</v>
      </c>
      <c r="G13" s="93">
        <v>18</v>
      </c>
      <c r="H13" s="93">
        <v>137</v>
      </c>
      <c r="I13" s="198" t="s">
        <v>849</v>
      </c>
      <c r="J13" s="199" t="s">
        <v>849</v>
      </c>
      <c r="K13" s="249">
        <v>0</v>
      </c>
      <c r="R13" s="35"/>
      <c r="S13" s="35"/>
    </row>
    <row r="14" spans="2:19">
      <c r="B14" s="89" t="s">
        <v>862</v>
      </c>
      <c r="C14" s="89" t="s">
        <v>863</v>
      </c>
      <c r="D14" s="89" t="s">
        <v>864</v>
      </c>
      <c r="E14" s="93">
        <v>20</v>
      </c>
      <c r="F14" s="93">
        <v>109</v>
      </c>
      <c r="G14" s="93">
        <v>28</v>
      </c>
      <c r="H14" s="93">
        <v>142</v>
      </c>
      <c r="I14" s="198" t="s">
        <v>865</v>
      </c>
      <c r="J14" s="199" t="s">
        <v>857</v>
      </c>
      <c r="K14" s="249">
        <v>0</v>
      </c>
      <c r="R14" s="35"/>
      <c r="S14" s="35"/>
    </row>
    <row r="15" spans="2:19">
      <c r="B15" s="89" t="s">
        <v>866</v>
      </c>
      <c r="C15" s="89" t="s">
        <v>867</v>
      </c>
      <c r="D15" s="89" t="s">
        <v>868</v>
      </c>
      <c r="E15" s="93">
        <v>43</v>
      </c>
      <c r="F15" s="93">
        <v>65</v>
      </c>
      <c r="G15" s="93">
        <v>57</v>
      </c>
      <c r="H15" s="93">
        <v>104</v>
      </c>
      <c r="I15" s="198" t="s">
        <v>869</v>
      </c>
      <c r="J15" s="199" t="s">
        <v>870</v>
      </c>
      <c r="K15" s="249">
        <v>5</v>
      </c>
      <c r="R15" s="35"/>
      <c r="S15" s="35"/>
    </row>
    <row r="16" spans="2:19">
      <c r="B16" s="89" t="s">
        <v>871</v>
      </c>
      <c r="C16" s="243" t="s">
        <v>872</v>
      </c>
      <c r="D16" s="243" t="s">
        <v>873</v>
      </c>
      <c r="E16" s="244">
        <v>55</v>
      </c>
      <c r="F16" s="244">
        <v>22</v>
      </c>
      <c r="G16" s="244">
        <v>143</v>
      </c>
      <c r="H16" s="244">
        <v>59</v>
      </c>
      <c r="I16" s="245" t="s">
        <v>874</v>
      </c>
      <c r="J16" s="246" t="s">
        <v>869</v>
      </c>
      <c r="K16" s="249">
        <v>0</v>
      </c>
      <c r="R16" s="35"/>
      <c r="S16" s="35"/>
    </row>
    <row r="17" spans="1:19">
      <c r="B17" s="89" t="s">
        <v>875</v>
      </c>
      <c r="C17" s="89"/>
      <c r="D17" s="89"/>
      <c r="E17" s="93">
        <v>23</v>
      </c>
      <c r="F17" s="93">
        <v>65</v>
      </c>
      <c r="G17" s="93">
        <v>100</v>
      </c>
      <c r="H17" s="93">
        <v>114</v>
      </c>
      <c r="I17" s="198" t="s">
        <v>874</v>
      </c>
      <c r="J17" s="199" t="s">
        <v>849</v>
      </c>
      <c r="K17" s="249">
        <v>0</v>
      </c>
      <c r="R17" s="35"/>
      <c r="S17" s="35"/>
    </row>
    <row r="18" spans="1:19">
      <c r="B18" s="194" t="s">
        <v>190</v>
      </c>
      <c r="C18" s="195"/>
      <c r="D18" s="195"/>
      <c r="E18" s="201"/>
      <c r="F18" s="201"/>
      <c r="G18" s="201"/>
      <c r="H18" s="201"/>
      <c r="I18" s="195"/>
      <c r="J18" s="196"/>
    </row>
    <row r="19" spans="1:19">
      <c r="B19" s="187"/>
      <c r="C19" s="254"/>
      <c r="D19" s="254"/>
      <c r="E19" s="255"/>
      <c r="F19" s="255"/>
      <c r="G19" s="255"/>
      <c r="H19" s="255"/>
      <c r="I19" s="254"/>
      <c r="J19" s="254"/>
    </row>
    <row r="20" spans="1:19">
      <c r="B20" s="89" t="s">
        <v>4</v>
      </c>
      <c r="C20" s="37" t="s">
        <v>876</v>
      </c>
      <c r="D20" t="s">
        <v>877</v>
      </c>
      <c r="E20" t="s">
        <v>878</v>
      </c>
      <c r="F20" t="s">
        <v>879</v>
      </c>
      <c r="H20" s="222" t="s">
        <v>880</v>
      </c>
      <c r="J20" s="37"/>
    </row>
    <row r="21" spans="1:19">
      <c r="B21" s="89" t="s">
        <v>7</v>
      </c>
      <c r="C21" s="89" t="s">
        <v>876</v>
      </c>
      <c r="D21" s="237" t="s">
        <v>881</v>
      </c>
      <c r="E21" t="s">
        <v>878</v>
      </c>
      <c r="F21" t="s">
        <v>882</v>
      </c>
    </row>
    <row r="22" spans="1:19" hidden="1"/>
    <row r="23" spans="1:19" ht="50.25" hidden="1">
      <c r="A23" s="235" t="s">
        <v>883</v>
      </c>
      <c r="B23" s="37" t="s">
        <v>884</v>
      </c>
      <c r="C23" s="233" t="s">
        <v>885</v>
      </c>
      <c r="D23" s="233" t="s">
        <v>886</v>
      </c>
      <c r="E23" s="233" t="s">
        <v>887</v>
      </c>
      <c r="F23" s="233" t="s">
        <v>888</v>
      </c>
      <c r="G23" s="233" t="s">
        <v>889</v>
      </c>
      <c r="H23" s="37" t="s">
        <v>90</v>
      </c>
      <c r="I23" s="37" t="s">
        <v>890</v>
      </c>
      <c r="J23" s="37" t="s">
        <v>204</v>
      </c>
      <c r="K23" s="37" t="s">
        <v>891</v>
      </c>
      <c r="L23" s="37" t="s">
        <v>892</v>
      </c>
    </row>
    <row r="24" spans="1:19" ht="19.5" hidden="1" customHeight="1">
      <c r="A24" s="234" t="s">
        <v>893</v>
      </c>
      <c r="B24" s="212" t="s">
        <v>271</v>
      </c>
      <c r="C24" s="212">
        <v>0</v>
      </c>
      <c r="D24" s="223">
        <v>6</v>
      </c>
      <c r="E24" s="223">
        <v>0</v>
      </c>
      <c r="F24" s="223">
        <v>1</v>
      </c>
      <c r="G24" s="212">
        <f t="shared" ref="G24:G39" si="0">SUM(D24+C24)</f>
        <v>6</v>
      </c>
      <c r="H24" s="212" t="s">
        <v>480</v>
      </c>
      <c r="I24" s="212" t="s">
        <v>894</v>
      </c>
      <c r="J24" s="224" t="s">
        <v>895</v>
      </c>
      <c r="K24" s="225" t="s">
        <v>896</v>
      </c>
      <c r="L24" s="226"/>
      <c r="R24" s="35"/>
      <c r="S24" s="35"/>
    </row>
    <row r="25" spans="1:19" ht="16.5" hidden="1" customHeight="1">
      <c r="A25" s="234"/>
      <c r="B25" s="212" t="s">
        <v>897</v>
      </c>
      <c r="C25" s="212">
        <v>3</v>
      </c>
      <c r="D25" s="223">
        <v>0</v>
      </c>
      <c r="E25" s="223">
        <v>0</v>
      </c>
      <c r="F25" s="223">
        <v>0</v>
      </c>
      <c r="G25" s="212">
        <f t="shared" si="0"/>
        <v>3</v>
      </c>
      <c r="H25" s="212" t="s">
        <v>772</v>
      </c>
      <c r="I25" s="212" t="s">
        <v>338</v>
      </c>
      <c r="J25" s="224" t="s">
        <v>898</v>
      </c>
      <c r="K25" s="227" t="s">
        <v>899</v>
      </c>
      <c r="L25" s="228"/>
      <c r="R25" s="35"/>
      <c r="S25" s="35"/>
    </row>
    <row r="26" spans="1:19" hidden="1">
      <c r="A26" s="234"/>
      <c r="B26" s="212" t="s">
        <v>900</v>
      </c>
      <c r="C26" s="212">
        <v>0</v>
      </c>
      <c r="D26" s="223">
        <v>2</v>
      </c>
      <c r="E26" s="223">
        <v>0</v>
      </c>
      <c r="F26" s="223">
        <v>2</v>
      </c>
      <c r="G26" s="212">
        <f t="shared" si="0"/>
        <v>2</v>
      </c>
      <c r="H26" s="212" t="s">
        <v>901</v>
      </c>
      <c r="I26" s="212" t="s">
        <v>902</v>
      </c>
      <c r="J26" s="224" t="s">
        <v>903</v>
      </c>
      <c r="K26" s="240" t="s">
        <v>904</v>
      </c>
      <c r="L26" s="228"/>
      <c r="R26" s="35"/>
      <c r="S26" s="35"/>
    </row>
    <row r="27" spans="1:19" hidden="1">
      <c r="A27" s="234"/>
      <c r="B27" s="212" t="s">
        <v>301</v>
      </c>
      <c r="C27" s="212">
        <v>0</v>
      </c>
      <c r="D27" s="223">
        <v>2</v>
      </c>
      <c r="E27" s="223">
        <v>0</v>
      </c>
      <c r="F27" s="223">
        <v>0</v>
      </c>
      <c r="G27" s="212">
        <f t="shared" si="0"/>
        <v>2</v>
      </c>
      <c r="H27" s="212" t="s">
        <v>509</v>
      </c>
      <c r="I27" s="212" t="s">
        <v>171</v>
      </c>
      <c r="J27" s="224" t="s">
        <v>905</v>
      </c>
      <c r="K27" s="227" t="s">
        <v>906</v>
      </c>
      <c r="L27" s="228" t="s">
        <v>907</v>
      </c>
      <c r="R27" s="35"/>
      <c r="S27" s="35"/>
    </row>
    <row r="28" spans="1:19" ht="12" hidden="1" customHeight="1">
      <c r="A28" s="234"/>
      <c r="B28" s="212" t="s">
        <v>366</v>
      </c>
      <c r="C28" s="212">
        <v>2</v>
      </c>
      <c r="D28" s="223">
        <v>0</v>
      </c>
      <c r="E28" s="223">
        <v>0</v>
      </c>
      <c r="F28" s="223">
        <v>0</v>
      </c>
      <c r="G28" s="212">
        <f t="shared" si="0"/>
        <v>2</v>
      </c>
      <c r="H28" s="212" t="s">
        <v>772</v>
      </c>
      <c r="I28" s="212" t="s">
        <v>363</v>
      </c>
      <c r="J28" s="224" t="s">
        <v>908</v>
      </c>
      <c r="K28" s="227" t="s">
        <v>909</v>
      </c>
      <c r="L28" s="228" t="s">
        <v>910</v>
      </c>
      <c r="R28" s="35"/>
      <c r="S28" s="35"/>
    </row>
    <row r="29" spans="1:19" ht="12" hidden="1" customHeight="1">
      <c r="A29" s="234" t="s">
        <v>893</v>
      </c>
      <c r="B29" s="211" t="s">
        <v>911</v>
      </c>
      <c r="C29" s="212">
        <v>1</v>
      </c>
      <c r="D29" s="223">
        <v>0</v>
      </c>
      <c r="E29" s="223">
        <v>1</v>
      </c>
      <c r="F29" s="223">
        <v>0</v>
      </c>
      <c r="G29" s="212">
        <f t="shared" si="0"/>
        <v>1</v>
      </c>
      <c r="H29" s="212" t="s">
        <v>642</v>
      </c>
      <c r="I29" s="212" t="s">
        <v>413</v>
      </c>
      <c r="J29" s="229" t="s">
        <v>415</v>
      </c>
      <c r="K29" s="227" t="s">
        <v>912</v>
      </c>
      <c r="L29" s="228"/>
      <c r="Q29" t="s">
        <v>913</v>
      </c>
      <c r="R29" s="35"/>
      <c r="S29" s="35"/>
    </row>
    <row r="30" spans="1:19" ht="30" hidden="1" customHeight="1">
      <c r="A30" s="234" t="s">
        <v>893</v>
      </c>
      <c r="B30" s="230" t="s">
        <v>501</v>
      </c>
      <c r="C30" s="212">
        <v>0</v>
      </c>
      <c r="D30" s="223">
        <v>1</v>
      </c>
      <c r="E30" s="223">
        <v>0</v>
      </c>
      <c r="F30" s="223">
        <v>1</v>
      </c>
      <c r="G30" s="212">
        <f t="shared" si="0"/>
        <v>1</v>
      </c>
      <c r="H30" s="212" t="s">
        <v>500</v>
      </c>
      <c r="I30" s="212" t="s">
        <v>914</v>
      </c>
      <c r="J30" s="224" t="s">
        <v>915</v>
      </c>
      <c r="K30" s="227" t="s">
        <v>916</v>
      </c>
      <c r="L30" s="228" t="s">
        <v>917</v>
      </c>
    </row>
    <row r="31" spans="1:19" hidden="1">
      <c r="A31" s="234"/>
      <c r="B31" s="230" t="s">
        <v>408</v>
      </c>
      <c r="C31" s="212">
        <v>0</v>
      </c>
      <c r="D31" s="223">
        <v>1</v>
      </c>
      <c r="E31" s="223">
        <v>0</v>
      </c>
      <c r="F31" s="223">
        <v>1</v>
      </c>
      <c r="G31" s="212">
        <f t="shared" si="0"/>
        <v>1</v>
      </c>
      <c r="H31" s="212" t="s">
        <v>918</v>
      </c>
      <c r="I31" s="212" t="s">
        <v>294</v>
      </c>
      <c r="J31" s="224" t="s">
        <v>919</v>
      </c>
      <c r="K31" s="227"/>
      <c r="L31" s="228"/>
      <c r="P31" s="35"/>
    </row>
    <row r="32" spans="1:19" hidden="1">
      <c r="A32" s="234"/>
      <c r="B32" s="212" t="s">
        <v>384</v>
      </c>
      <c r="C32" s="212">
        <v>1</v>
      </c>
      <c r="D32" s="223">
        <v>0</v>
      </c>
      <c r="E32" s="223">
        <v>1</v>
      </c>
      <c r="F32" s="223">
        <v>0</v>
      </c>
      <c r="G32" s="212">
        <f t="shared" si="0"/>
        <v>1</v>
      </c>
      <c r="H32" s="212" t="s">
        <v>321</v>
      </c>
      <c r="I32" s="212" t="s">
        <v>381</v>
      </c>
      <c r="J32" s="231" t="s">
        <v>920</v>
      </c>
      <c r="K32" s="240" t="s">
        <v>921</v>
      </c>
      <c r="L32" s="228"/>
    </row>
    <row r="33" spans="1:12" hidden="1">
      <c r="A33" s="234"/>
      <c r="B33" s="212" t="s">
        <v>388</v>
      </c>
      <c r="C33" s="212">
        <v>0</v>
      </c>
      <c r="D33" s="223">
        <v>1</v>
      </c>
      <c r="E33" s="223">
        <v>0</v>
      </c>
      <c r="F33" s="223">
        <v>1</v>
      </c>
      <c r="G33" s="212">
        <f t="shared" si="0"/>
        <v>1</v>
      </c>
      <c r="H33" s="212" t="s">
        <v>321</v>
      </c>
      <c r="I33" s="212" t="s">
        <v>385</v>
      </c>
      <c r="J33" s="224" t="s">
        <v>922</v>
      </c>
      <c r="K33" s="240" t="s">
        <v>618</v>
      </c>
      <c r="L33" s="228"/>
    </row>
    <row r="34" spans="1:12" hidden="1">
      <c r="A34" s="234"/>
      <c r="B34" s="212" t="s">
        <v>923</v>
      </c>
      <c r="C34" s="212">
        <v>1</v>
      </c>
      <c r="D34" s="223">
        <v>0</v>
      </c>
      <c r="E34" s="223">
        <v>1</v>
      </c>
      <c r="F34" s="223">
        <v>0</v>
      </c>
      <c r="G34" s="212">
        <f t="shared" si="0"/>
        <v>1</v>
      </c>
      <c r="H34" s="212" t="s">
        <v>509</v>
      </c>
      <c r="I34" s="212" t="s">
        <v>409</v>
      </c>
      <c r="J34" s="224" t="s">
        <v>924</v>
      </c>
      <c r="K34" s="227"/>
      <c r="L34" s="228"/>
    </row>
    <row r="35" spans="1:12" hidden="1">
      <c r="A35" s="234"/>
      <c r="B35" s="212" t="s">
        <v>402</v>
      </c>
      <c r="C35" s="212">
        <v>1</v>
      </c>
      <c r="D35" s="223">
        <v>0</v>
      </c>
      <c r="E35" s="223">
        <v>0</v>
      </c>
      <c r="F35" s="223">
        <v>0</v>
      </c>
      <c r="G35" s="212">
        <f t="shared" si="0"/>
        <v>1</v>
      </c>
      <c r="H35" s="212" t="s">
        <v>772</v>
      </c>
      <c r="I35" s="212" t="s">
        <v>399</v>
      </c>
      <c r="J35" s="224" t="s">
        <v>925</v>
      </c>
      <c r="K35" s="227"/>
      <c r="L35" s="228"/>
    </row>
    <row r="36" spans="1:12" hidden="1">
      <c r="A36" s="234"/>
      <c r="B36" s="212" t="s">
        <v>346</v>
      </c>
      <c r="C36" s="212">
        <v>1</v>
      </c>
      <c r="D36" s="223">
        <v>0</v>
      </c>
      <c r="E36" s="223">
        <v>0</v>
      </c>
      <c r="F36" s="223">
        <v>0</v>
      </c>
      <c r="G36" s="212">
        <f t="shared" si="0"/>
        <v>1</v>
      </c>
      <c r="H36" s="212" t="s">
        <v>774</v>
      </c>
      <c r="I36" s="212" t="s">
        <v>342</v>
      </c>
      <c r="J36" s="224" t="s">
        <v>926</v>
      </c>
      <c r="K36" s="227"/>
      <c r="L36" s="228" t="s">
        <v>927</v>
      </c>
    </row>
    <row r="37" spans="1:12" hidden="1">
      <c r="A37" s="234"/>
      <c r="B37" s="212" t="s">
        <v>352</v>
      </c>
      <c r="C37" s="212">
        <v>0</v>
      </c>
      <c r="D37" s="223">
        <v>1</v>
      </c>
      <c r="E37" s="223">
        <v>0</v>
      </c>
      <c r="F37" s="223">
        <v>0</v>
      </c>
      <c r="G37" s="212">
        <f t="shared" si="0"/>
        <v>1</v>
      </c>
      <c r="H37" s="212" t="s">
        <v>642</v>
      </c>
      <c r="I37" s="212" t="s">
        <v>350</v>
      </c>
      <c r="J37" s="224" t="s">
        <v>928</v>
      </c>
      <c r="K37" s="227" t="s">
        <v>618</v>
      </c>
      <c r="L37" s="228"/>
    </row>
    <row r="38" spans="1:12" ht="25.5" hidden="1">
      <c r="A38" s="234"/>
      <c r="B38" s="212" t="s">
        <v>362</v>
      </c>
      <c r="C38" s="212">
        <v>1</v>
      </c>
      <c r="D38" s="223">
        <v>0</v>
      </c>
      <c r="E38" s="223">
        <v>0</v>
      </c>
      <c r="F38" s="223">
        <v>0</v>
      </c>
      <c r="G38" s="212">
        <f t="shared" si="0"/>
        <v>1</v>
      </c>
      <c r="H38" s="212" t="s">
        <v>772</v>
      </c>
      <c r="I38" s="212" t="s">
        <v>359</v>
      </c>
      <c r="J38" s="224" t="s">
        <v>929</v>
      </c>
      <c r="K38" s="240" t="s">
        <v>930</v>
      </c>
      <c r="L38" s="228" t="s">
        <v>931</v>
      </c>
    </row>
    <row r="39" spans="1:12" ht="25.5" hidden="1">
      <c r="A39" s="212"/>
      <c r="B39" s="212" t="s">
        <v>380</v>
      </c>
      <c r="C39" s="212">
        <v>0</v>
      </c>
      <c r="D39" s="223">
        <v>1</v>
      </c>
      <c r="E39" s="223">
        <v>0</v>
      </c>
      <c r="F39" s="223">
        <v>0</v>
      </c>
      <c r="G39" s="212">
        <f t="shared" si="0"/>
        <v>1</v>
      </c>
      <c r="H39" s="212" t="s">
        <v>772</v>
      </c>
      <c r="I39" s="212" t="s">
        <v>377</v>
      </c>
      <c r="J39" s="224" t="s">
        <v>932</v>
      </c>
      <c r="K39" s="241" t="s">
        <v>933</v>
      </c>
      <c r="L39" s="232" t="s">
        <v>934</v>
      </c>
    </row>
    <row r="40" spans="1:12" hidden="1"/>
    <row r="41" spans="1:12" ht="39">
      <c r="A41" s="239"/>
      <c r="B41" s="12" t="s">
        <v>218</v>
      </c>
      <c r="C41" s="233" t="s">
        <v>885</v>
      </c>
      <c r="D41" s="233" t="s">
        <v>886</v>
      </c>
      <c r="E41" s="233" t="s">
        <v>887</v>
      </c>
      <c r="F41" s="233" t="s">
        <v>935</v>
      </c>
      <c r="G41" s="37" t="s">
        <v>936</v>
      </c>
      <c r="H41" s="37" t="s">
        <v>90</v>
      </c>
      <c r="I41" s="37" t="s">
        <v>890</v>
      </c>
      <c r="J41" s="37" t="s">
        <v>204</v>
      </c>
      <c r="K41" s="12" t="s">
        <v>891</v>
      </c>
      <c r="L41" s="37" t="s">
        <v>892</v>
      </c>
    </row>
    <row r="42" spans="1:12" ht="37.5" customHeight="1">
      <c r="A42" s="262"/>
      <c r="C42" s="203"/>
      <c r="D42" s="37"/>
      <c r="E42" s="203"/>
      <c r="F42" s="37"/>
      <c r="H42" s="37"/>
      <c r="J42" s="12"/>
      <c r="K42" s="238"/>
      <c r="L42" s="37"/>
    </row>
    <row r="43" spans="1:12">
      <c r="B43" t="s">
        <v>218</v>
      </c>
      <c r="C43" s="37" t="s">
        <v>937</v>
      </c>
      <c r="D43" t="s">
        <v>885</v>
      </c>
      <c r="E43" t="s">
        <v>886</v>
      </c>
      <c r="F43" s="37" t="s">
        <v>887</v>
      </c>
      <c r="G43" s="37" t="s">
        <v>935</v>
      </c>
      <c r="H43" s="37" t="s">
        <v>938</v>
      </c>
      <c r="I43" s="220"/>
      <c r="J43" s="250"/>
      <c r="K43" s="250"/>
      <c r="L43" s="251"/>
    </row>
    <row r="44" spans="1:12">
      <c r="A44" s="203">
        <v>7</v>
      </c>
      <c r="B44" t="s">
        <v>271</v>
      </c>
      <c r="C44" s="37" t="s">
        <v>251</v>
      </c>
      <c r="D44" s="37" t="s">
        <v>917</v>
      </c>
      <c r="E44" s="37">
        <v>3</v>
      </c>
      <c r="F44" s="37" t="s">
        <v>917</v>
      </c>
      <c r="G44" s="89">
        <v>3</v>
      </c>
      <c r="H44" s="86" t="s">
        <v>939</v>
      </c>
      <c r="J44" s="253"/>
      <c r="K44" s="253"/>
    </row>
    <row r="45" spans="1:12">
      <c r="A45" s="37">
        <v>9</v>
      </c>
      <c r="B45" t="s">
        <v>477</v>
      </c>
      <c r="C45" s="37" t="s">
        <v>186</v>
      </c>
      <c r="D45" s="37" t="s">
        <v>917</v>
      </c>
      <c r="E45" s="37">
        <v>1</v>
      </c>
      <c r="F45" s="37" t="s">
        <v>917</v>
      </c>
      <c r="G45" s="37">
        <v>1</v>
      </c>
      <c r="H45" t="s">
        <v>940</v>
      </c>
      <c r="J45" s="250"/>
      <c r="K45" s="250"/>
    </row>
    <row r="46" spans="1:12">
      <c r="A46" s="37">
        <v>10</v>
      </c>
      <c r="B46" s="86" t="s">
        <v>494</v>
      </c>
      <c r="C46" s="89" t="s">
        <v>434</v>
      </c>
      <c r="D46" s="89" t="s">
        <v>917</v>
      </c>
      <c r="E46" s="89">
        <v>1</v>
      </c>
      <c r="F46" s="89" t="s">
        <v>917</v>
      </c>
      <c r="G46" s="89">
        <v>1</v>
      </c>
      <c r="H46" s="86" t="s">
        <v>941</v>
      </c>
      <c r="I46" s="220"/>
      <c r="J46" s="253"/>
      <c r="K46" s="250"/>
    </row>
    <row r="47" spans="1:12">
      <c r="A47" s="37">
        <v>11</v>
      </c>
      <c r="B47" s="86" t="s">
        <v>510</v>
      </c>
      <c r="C47" s="89" t="s">
        <v>506</v>
      </c>
      <c r="D47" s="89" t="s">
        <v>917</v>
      </c>
      <c r="E47" s="89">
        <v>1</v>
      </c>
      <c r="F47" s="89" t="s">
        <v>917</v>
      </c>
      <c r="G47" s="89">
        <v>1</v>
      </c>
      <c r="H47" s="86" t="s">
        <v>942</v>
      </c>
      <c r="I47" s="220"/>
      <c r="J47" s="253"/>
      <c r="K47" s="250"/>
    </row>
    <row r="48" spans="1:12">
      <c r="A48" s="203">
        <v>1</v>
      </c>
      <c r="B48" s="237" t="s">
        <v>469</v>
      </c>
      <c r="C48" s="89" t="s">
        <v>943</v>
      </c>
      <c r="D48" s="89" t="s">
        <v>917</v>
      </c>
      <c r="E48" s="89">
        <v>2</v>
      </c>
      <c r="F48" s="89" t="s">
        <v>917</v>
      </c>
      <c r="G48" s="89" t="s">
        <v>917</v>
      </c>
      <c r="H48" s="86" t="s">
        <v>944</v>
      </c>
      <c r="I48" s="220"/>
      <c r="J48" s="253"/>
      <c r="K48" s="252"/>
    </row>
    <row r="49" spans="1:14">
      <c r="A49" s="37">
        <v>2</v>
      </c>
      <c r="B49" s="86" t="s">
        <v>501</v>
      </c>
      <c r="C49" s="89" t="s">
        <v>497</v>
      </c>
      <c r="D49" s="89">
        <v>1</v>
      </c>
      <c r="E49" s="89" t="s">
        <v>917</v>
      </c>
      <c r="F49" s="89">
        <v>1</v>
      </c>
      <c r="G49" s="89" t="s">
        <v>917</v>
      </c>
      <c r="H49" s="86" t="s">
        <v>945</v>
      </c>
      <c r="I49" s="220"/>
      <c r="J49" s="253"/>
      <c r="K49" s="250"/>
    </row>
    <row r="50" spans="1:14">
      <c r="A50" s="203">
        <v>3</v>
      </c>
      <c r="B50" s="86" t="s">
        <v>402</v>
      </c>
      <c r="C50" s="89" t="s">
        <v>399</v>
      </c>
      <c r="D50" s="89">
        <v>1</v>
      </c>
      <c r="E50" s="89" t="s">
        <v>917</v>
      </c>
      <c r="F50" s="89" t="s">
        <v>917</v>
      </c>
      <c r="G50" s="89" t="s">
        <v>917</v>
      </c>
      <c r="H50" s="86" t="s">
        <v>946</v>
      </c>
      <c r="I50" s="220"/>
      <c r="J50" s="253"/>
      <c r="K50" s="252"/>
    </row>
    <row r="51" spans="1:14">
      <c r="A51" s="37">
        <v>4</v>
      </c>
      <c r="B51" s="86" t="s">
        <v>490</v>
      </c>
      <c r="C51" s="89" t="s">
        <v>488</v>
      </c>
      <c r="D51" s="89">
        <v>1</v>
      </c>
      <c r="E51" s="89" t="s">
        <v>917</v>
      </c>
      <c r="F51" s="89">
        <v>1</v>
      </c>
      <c r="G51" s="89" t="s">
        <v>917</v>
      </c>
      <c r="H51" s="86" t="s">
        <v>947</v>
      </c>
      <c r="I51" s="220"/>
      <c r="J51" s="253"/>
      <c r="K51" s="250"/>
    </row>
    <row r="52" spans="1:14">
      <c r="A52" s="37">
        <v>5</v>
      </c>
      <c r="B52" s="86" t="s">
        <v>465</v>
      </c>
      <c r="C52" s="89" t="s">
        <v>462</v>
      </c>
      <c r="D52" s="89" t="s">
        <v>917</v>
      </c>
      <c r="E52" s="89">
        <v>1</v>
      </c>
      <c r="F52" s="89" t="s">
        <v>917</v>
      </c>
      <c r="G52" s="89" t="s">
        <v>917</v>
      </c>
      <c r="H52" s="86" t="s">
        <v>948</v>
      </c>
      <c r="I52" s="260"/>
      <c r="J52" s="253"/>
      <c r="K52" s="250"/>
      <c r="N52" s="12"/>
    </row>
    <row r="53" spans="1:14">
      <c r="A53" s="37">
        <v>6</v>
      </c>
      <c r="B53" s="86" t="s">
        <v>473</v>
      </c>
      <c r="C53" s="89" t="s">
        <v>470</v>
      </c>
      <c r="D53" s="89">
        <v>1</v>
      </c>
      <c r="E53" s="89" t="s">
        <v>917</v>
      </c>
      <c r="F53" s="89">
        <v>1</v>
      </c>
      <c r="G53" s="220" t="s">
        <v>917</v>
      </c>
      <c r="H53" s="247" t="s">
        <v>949</v>
      </c>
      <c r="I53" s="89"/>
      <c r="J53" s="221"/>
      <c r="K53" s="248"/>
    </row>
    <row r="54" spans="1:14">
      <c r="A54" s="37">
        <v>8</v>
      </c>
      <c r="B54" s="257" t="s">
        <v>444</v>
      </c>
      <c r="C54" s="89" t="s">
        <v>441</v>
      </c>
      <c r="D54" s="89">
        <v>1</v>
      </c>
      <c r="E54" s="89" t="s">
        <v>917</v>
      </c>
      <c r="F54" s="89">
        <v>1</v>
      </c>
      <c r="G54" s="220" t="s">
        <v>917</v>
      </c>
      <c r="H54" s="247" t="s">
        <v>950</v>
      </c>
      <c r="I54" s="256"/>
      <c r="J54" s="261"/>
      <c r="K54" s="248"/>
    </row>
    <row r="55" spans="1:14">
      <c r="A55" s="37">
        <v>12</v>
      </c>
      <c r="B55" s="258" t="s">
        <v>505</v>
      </c>
      <c r="C55" s="37" t="s">
        <v>502</v>
      </c>
      <c r="D55" s="37">
        <v>1</v>
      </c>
      <c r="E55" s="37" t="s">
        <v>917</v>
      </c>
      <c r="F55" s="37">
        <v>1</v>
      </c>
      <c r="G55" s="220" t="s">
        <v>917</v>
      </c>
      <c r="H55" s="247" t="s">
        <v>504</v>
      </c>
      <c r="I55" s="3"/>
      <c r="J55" s="210"/>
      <c r="K55" s="248"/>
    </row>
    <row r="56" spans="1:14">
      <c r="A56" s="37"/>
      <c r="B56" s="258"/>
      <c r="C56" s="37"/>
      <c r="D56" s="37"/>
      <c r="E56" s="37"/>
      <c r="F56" s="37"/>
      <c r="G56" s="220"/>
      <c r="H56" s="247"/>
      <c r="I56" s="153"/>
      <c r="J56" s="210"/>
      <c r="K56" s="248"/>
    </row>
    <row r="57" spans="1:14">
      <c r="A57" s="37"/>
      <c r="B57" s="258"/>
      <c r="C57" s="37"/>
      <c r="D57" s="37"/>
      <c r="E57" s="37"/>
      <c r="F57" s="37"/>
      <c r="G57" s="220"/>
      <c r="H57" s="247"/>
      <c r="I57" s="153"/>
      <c r="J57" s="210"/>
      <c r="K57" s="248"/>
    </row>
    <row r="58" spans="1:14">
      <c r="A58" s="37" t="s">
        <v>218</v>
      </c>
      <c r="B58" s="258" t="s">
        <v>208</v>
      </c>
      <c r="C58" s="37" t="s">
        <v>885</v>
      </c>
      <c r="D58" s="37" t="s">
        <v>885</v>
      </c>
      <c r="E58" s="37" t="s">
        <v>886</v>
      </c>
      <c r="F58" s="37" t="s">
        <v>887</v>
      </c>
      <c r="G58" s="37" t="s">
        <v>935</v>
      </c>
      <c r="H58" s="247"/>
      <c r="I58" s="153"/>
      <c r="J58" s="210"/>
      <c r="K58" s="248"/>
    </row>
    <row r="59" spans="1:14">
      <c r="A59" s="37">
        <v>9</v>
      </c>
      <c r="B59" s="258" t="s">
        <v>271</v>
      </c>
      <c r="C59" s="37" t="s">
        <v>251</v>
      </c>
      <c r="D59" s="37" t="s">
        <v>917</v>
      </c>
      <c r="E59" s="37">
        <v>3</v>
      </c>
      <c r="F59" s="37" t="s">
        <v>917</v>
      </c>
      <c r="G59" s="220">
        <v>3</v>
      </c>
      <c r="H59" s="247" t="s">
        <v>951</v>
      </c>
      <c r="I59" s="153"/>
      <c r="J59" s="210"/>
      <c r="K59" s="248"/>
    </row>
    <row r="60" spans="1:14">
      <c r="A60" s="37">
        <v>16</v>
      </c>
      <c r="B60" s="263" t="s">
        <v>534</v>
      </c>
      <c r="C60" s="96" t="s">
        <v>531</v>
      </c>
      <c r="D60" s="96" t="s">
        <v>917</v>
      </c>
      <c r="E60" s="96">
        <v>3</v>
      </c>
      <c r="F60" s="96" t="s">
        <v>917</v>
      </c>
      <c r="G60" s="264">
        <v>3</v>
      </c>
      <c r="H60" s="265" t="s">
        <v>952</v>
      </c>
      <c r="I60" s="266"/>
      <c r="J60" s="210"/>
      <c r="K60" s="248"/>
    </row>
    <row r="61" spans="1:14">
      <c r="A61" s="37">
        <v>10</v>
      </c>
      <c r="B61" s="263" t="s">
        <v>525</v>
      </c>
      <c r="C61" s="96" t="s">
        <v>342</v>
      </c>
      <c r="D61" s="96">
        <v>2</v>
      </c>
      <c r="E61" s="96" t="s">
        <v>917</v>
      </c>
      <c r="F61" s="96">
        <v>2</v>
      </c>
      <c r="G61" s="264" t="s">
        <v>917</v>
      </c>
      <c r="H61" s="265" t="s">
        <v>953</v>
      </c>
      <c r="I61" s="266"/>
      <c r="J61" s="210"/>
      <c r="K61" s="248"/>
    </row>
    <row r="62" spans="1:14">
      <c r="A62" s="37">
        <v>11</v>
      </c>
      <c r="B62" s="263" t="s">
        <v>444</v>
      </c>
      <c r="C62" s="96" t="s">
        <v>441</v>
      </c>
      <c r="D62" s="96">
        <v>4</v>
      </c>
      <c r="E62" s="96" t="s">
        <v>917</v>
      </c>
      <c r="F62" s="96">
        <v>4</v>
      </c>
      <c r="G62" s="264" t="s">
        <v>917</v>
      </c>
      <c r="H62" s="265" t="s">
        <v>954</v>
      </c>
      <c r="I62" s="266"/>
      <c r="J62" s="210"/>
      <c r="K62" s="248"/>
    </row>
    <row r="63" spans="1:14">
      <c r="A63" s="37">
        <v>1</v>
      </c>
      <c r="B63" s="263">
        <v>53104424</v>
      </c>
      <c r="C63" s="96" t="s">
        <v>186</v>
      </c>
      <c r="D63" s="96" t="s">
        <v>917</v>
      </c>
      <c r="E63" s="96">
        <v>1</v>
      </c>
      <c r="F63" s="96" t="s">
        <v>917</v>
      </c>
      <c r="G63" s="264">
        <v>1</v>
      </c>
      <c r="H63" s="265" t="s">
        <v>955</v>
      </c>
      <c r="I63" s="153"/>
      <c r="J63" s="210"/>
      <c r="K63" s="248"/>
    </row>
    <row r="64" spans="1:14">
      <c r="A64" s="37">
        <v>12</v>
      </c>
      <c r="B64" s="258" t="s">
        <v>477</v>
      </c>
      <c r="C64" s="37" t="s">
        <v>186</v>
      </c>
      <c r="D64" s="37" t="s">
        <v>917</v>
      </c>
      <c r="E64" s="37">
        <v>1</v>
      </c>
      <c r="F64" s="37" t="s">
        <v>917</v>
      </c>
      <c r="G64" s="220">
        <v>1</v>
      </c>
      <c r="H64" s="247" t="s">
        <v>940</v>
      </c>
      <c r="I64" s="153"/>
      <c r="J64" s="210"/>
      <c r="K64" s="248"/>
    </row>
    <row r="65" spans="1:11">
      <c r="A65" s="37">
        <v>13</v>
      </c>
      <c r="B65" s="258" t="s">
        <v>494</v>
      </c>
      <c r="C65" s="37" t="s">
        <v>434</v>
      </c>
      <c r="D65" s="37" t="s">
        <v>917</v>
      </c>
      <c r="E65" s="37">
        <v>1</v>
      </c>
      <c r="F65" s="37" t="s">
        <v>917</v>
      </c>
      <c r="G65" s="220">
        <v>1</v>
      </c>
      <c r="H65" s="247" t="s">
        <v>941</v>
      </c>
      <c r="I65" s="153"/>
      <c r="J65" s="210"/>
      <c r="K65" s="248"/>
    </row>
    <row r="66" spans="1:11">
      <c r="A66" s="37">
        <v>14</v>
      </c>
      <c r="B66" s="258" t="s">
        <v>510</v>
      </c>
      <c r="C66" s="37" t="s">
        <v>506</v>
      </c>
      <c r="D66" s="37" t="s">
        <v>917</v>
      </c>
      <c r="E66" s="37">
        <v>1</v>
      </c>
      <c r="F66" s="37" t="s">
        <v>917</v>
      </c>
      <c r="G66" s="220">
        <v>1</v>
      </c>
      <c r="H66" s="247" t="s">
        <v>942</v>
      </c>
      <c r="I66" s="153"/>
      <c r="J66" s="210"/>
      <c r="K66" s="248"/>
    </row>
    <row r="67" spans="1:11">
      <c r="A67" s="37">
        <v>2</v>
      </c>
      <c r="B67" s="258" t="s">
        <v>469</v>
      </c>
      <c r="C67" s="37" t="s">
        <v>943</v>
      </c>
      <c r="D67" s="37" t="s">
        <v>917</v>
      </c>
      <c r="E67" s="37">
        <v>2</v>
      </c>
      <c r="F67" s="37" t="s">
        <v>917</v>
      </c>
      <c r="G67" s="220" t="s">
        <v>917</v>
      </c>
      <c r="H67" s="247" t="s">
        <v>956</v>
      </c>
      <c r="I67" s="153"/>
      <c r="J67" s="210"/>
      <c r="K67" s="248"/>
    </row>
    <row r="68" spans="1:11">
      <c r="A68" s="37">
        <v>3</v>
      </c>
      <c r="B68" s="258" t="s">
        <v>501</v>
      </c>
      <c r="C68" s="37" t="s">
        <v>497</v>
      </c>
      <c r="D68" s="37">
        <v>1</v>
      </c>
      <c r="E68" s="37" t="s">
        <v>917</v>
      </c>
      <c r="F68" s="37">
        <v>1</v>
      </c>
      <c r="G68" s="220" t="s">
        <v>917</v>
      </c>
      <c r="H68" s="247" t="s">
        <v>945</v>
      </c>
      <c r="I68" s="153"/>
      <c r="J68" s="210"/>
      <c r="K68" s="248"/>
    </row>
    <row r="69" spans="1:11">
      <c r="A69" s="37">
        <v>4</v>
      </c>
      <c r="B69" s="258" t="s">
        <v>402</v>
      </c>
      <c r="C69" s="37" t="s">
        <v>399</v>
      </c>
      <c r="D69" s="37">
        <v>1</v>
      </c>
      <c r="E69" s="37" t="s">
        <v>917</v>
      </c>
      <c r="F69" s="37" t="s">
        <v>917</v>
      </c>
      <c r="G69" s="220" t="s">
        <v>917</v>
      </c>
      <c r="H69" s="247" t="s">
        <v>946</v>
      </c>
      <c r="I69" s="153"/>
      <c r="J69" s="210"/>
      <c r="K69" s="248"/>
    </row>
    <row r="70" spans="1:11">
      <c r="A70" s="37">
        <v>5</v>
      </c>
      <c r="B70" s="258" t="s">
        <v>490</v>
      </c>
      <c r="C70" s="37" t="s">
        <v>488</v>
      </c>
      <c r="D70" s="37">
        <v>1</v>
      </c>
      <c r="E70" s="37" t="s">
        <v>917</v>
      </c>
      <c r="F70" s="37">
        <v>1</v>
      </c>
      <c r="G70" s="220" t="s">
        <v>917</v>
      </c>
      <c r="H70" s="247" t="s">
        <v>947</v>
      </c>
      <c r="I70" s="153"/>
      <c r="J70" s="210"/>
      <c r="K70" s="248"/>
    </row>
    <row r="71" spans="1:11">
      <c r="A71" s="37">
        <v>6</v>
      </c>
      <c r="B71" s="258" t="s">
        <v>465</v>
      </c>
      <c r="C71" s="37" t="s">
        <v>462</v>
      </c>
      <c r="D71" s="37" t="s">
        <v>917</v>
      </c>
      <c r="E71" s="37">
        <v>1</v>
      </c>
      <c r="F71" s="37" t="s">
        <v>917</v>
      </c>
      <c r="G71" s="220" t="s">
        <v>917</v>
      </c>
      <c r="H71" s="247" t="s">
        <v>948</v>
      </c>
      <c r="I71" s="153"/>
      <c r="J71" s="210"/>
      <c r="K71" s="248"/>
    </row>
    <row r="72" spans="1:11">
      <c r="A72" s="37">
        <v>7</v>
      </c>
      <c r="B72" s="258" t="s">
        <v>473</v>
      </c>
      <c r="C72" s="37" t="s">
        <v>470</v>
      </c>
      <c r="D72" s="37">
        <v>1</v>
      </c>
      <c r="E72" s="37" t="s">
        <v>917</v>
      </c>
      <c r="F72" s="37">
        <v>1</v>
      </c>
      <c r="G72" s="220" t="s">
        <v>917</v>
      </c>
      <c r="H72" s="247" t="s">
        <v>949</v>
      </c>
      <c r="I72" s="153"/>
      <c r="J72" s="210"/>
      <c r="K72" s="248"/>
    </row>
    <row r="73" spans="1:11">
      <c r="A73" s="37">
        <v>8</v>
      </c>
      <c r="B73" s="258" t="s">
        <v>451</v>
      </c>
      <c r="C73" s="37" t="s">
        <v>448</v>
      </c>
      <c r="D73" s="37">
        <v>1</v>
      </c>
      <c r="E73" s="37" t="s">
        <v>917</v>
      </c>
      <c r="F73" s="37">
        <v>1</v>
      </c>
      <c r="G73" s="220" t="s">
        <v>917</v>
      </c>
      <c r="H73" s="247" t="s">
        <v>957</v>
      </c>
      <c r="I73" s="153"/>
      <c r="J73" s="210"/>
      <c r="K73" s="248"/>
    </row>
    <row r="74" spans="1:11">
      <c r="A74" s="37">
        <v>15</v>
      </c>
      <c r="B74" s="258" t="s">
        <v>521</v>
      </c>
      <c r="C74" s="37" t="s">
        <v>164</v>
      </c>
      <c r="D74" s="37">
        <v>1</v>
      </c>
      <c r="E74" s="37" t="s">
        <v>917</v>
      </c>
      <c r="F74" s="37">
        <v>1</v>
      </c>
      <c r="G74" s="220" t="s">
        <v>917</v>
      </c>
      <c r="H74" s="247" t="s">
        <v>958</v>
      </c>
      <c r="I74" s="153"/>
      <c r="J74" s="210"/>
      <c r="K74" s="248"/>
    </row>
    <row r="75" spans="1:11">
      <c r="A75" s="37">
        <v>17</v>
      </c>
      <c r="B75" s="258" t="s">
        <v>505</v>
      </c>
      <c r="C75" s="37" t="s">
        <v>502</v>
      </c>
      <c r="D75" s="37">
        <v>1</v>
      </c>
      <c r="E75" s="37" t="s">
        <v>917</v>
      </c>
      <c r="F75" s="37">
        <v>1</v>
      </c>
      <c r="G75" s="220" t="s">
        <v>917</v>
      </c>
      <c r="H75" s="247" t="s">
        <v>504</v>
      </c>
      <c r="I75" s="153"/>
      <c r="J75" s="210"/>
      <c r="K75" s="248"/>
    </row>
    <row r="76" spans="1:11">
      <c r="A76" s="37"/>
      <c r="B76" s="257"/>
      <c r="C76" s="37"/>
      <c r="D76" s="37"/>
      <c r="E76" s="37"/>
      <c r="F76" s="37"/>
      <c r="H76" s="247"/>
      <c r="I76" s="242"/>
      <c r="J76" s="69"/>
    </row>
    <row r="77" spans="1:11">
      <c r="A77" s="37"/>
      <c r="B77" s="257"/>
      <c r="C77" s="37"/>
      <c r="D77" s="37"/>
      <c r="E77" s="37"/>
      <c r="F77" s="37"/>
      <c r="I77" s="3"/>
      <c r="J77" s="259"/>
    </row>
  </sheetData>
  <phoneticPr fontId="2" type="noConversion"/>
  <conditionalFormatting sqref="K27:K29">
    <cfRule type="cellIs" dxfId="52" priority="1" operator="equal">
      <formula>"no AIR"</formula>
    </cfRule>
    <cfRule type="cellIs" dxfId="51" priority="2" operator="equal">
      <formula>"not found"</formula>
    </cfRule>
  </conditionalFormatting>
  <pageMargins left="0.7" right="0.7" top="0.75" bottom="0.75" header="0.3" footer="0.3"/>
  <tableParts count="2">
    <tablePart r:id="rId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3F8F7-CB10-4DFC-89FE-C2B1C2B1FA8E}">
  <sheetPr codeName="Sheet15"/>
  <dimension ref="A1:X89"/>
  <sheetViews>
    <sheetView topLeftCell="V1" zoomScaleNormal="100" workbookViewId="0">
      <selection activeCell="H51" sqref="H51"/>
    </sheetView>
  </sheetViews>
  <sheetFormatPr defaultColWidth="9.140625" defaultRowHeight="15"/>
  <cols>
    <col min="1" max="1" width="12.85546875" bestFit="1" customWidth="1"/>
    <col min="2" max="2" width="18.85546875" customWidth="1"/>
    <col min="3" max="3" width="10.42578125" style="37" customWidth="1"/>
    <col min="4" max="4" width="9.140625" customWidth="1"/>
    <col min="5" max="6" width="18.85546875" customWidth="1"/>
    <col min="7" max="7" width="18.140625" customWidth="1"/>
    <col min="8" max="8" width="79.5703125" customWidth="1"/>
    <col min="9" max="9" width="78.140625" customWidth="1"/>
    <col min="10" max="10" width="18.5703125" customWidth="1"/>
    <col min="11" max="11" width="13.42578125" customWidth="1"/>
    <col min="12" max="12" width="14.140625" customWidth="1"/>
    <col min="13" max="13" width="9.42578125" customWidth="1"/>
    <col min="14" max="16" width="9.140625" customWidth="1"/>
    <col min="17" max="17" width="12.85546875" customWidth="1"/>
    <col min="18" max="23" width="9.140625" customWidth="1"/>
    <col min="24" max="24" width="255.42578125" customWidth="1"/>
  </cols>
  <sheetData>
    <row r="1" spans="1:24">
      <c r="B1" s="173" t="s">
        <v>1</v>
      </c>
      <c r="C1" s="140" t="s">
        <v>5</v>
      </c>
      <c r="F1" s="124" t="s">
        <v>959</v>
      </c>
      <c r="G1" s="176" t="str">
        <f>C1&amp;" vs RoW"</f>
        <v>Intel vs RoW</v>
      </c>
      <c r="J1" s="177" t="s">
        <v>1</v>
      </c>
      <c r="K1" s="138" t="str">
        <f>IF(C1="Intel","EZ60",IF(C1="tsmc","ET18","AJ99"))</f>
        <v>EZ60</v>
      </c>
      <c r="L1" s="37"/>
      <c r="R1" s="534" t="s">
        <v>960</v>
      </c>
      <c r="S1" s="534"/>
      <c r="T1" s="534"/>
      <c r="U1" s="534"/>
    </row>
    <row r="2" spans="1:24">
      <c r="B2" s="4" t="s">
        <v>961</v>
      </c>
      <c r="C2" s="138" t="str">
        <f>IF(C1="Intel","tsmc","Intel")</f>
        <v>tsmc</v>
      </c>
      <c r="D2" s="138" t="str">
        <f>IF(C1="SEC","tsmc","SEC")</f>
        <v>SEC</v>
      </c>
      <c r="J2" s="177" t="s">
        <v>961</v>
      </c>
      <c r="K2" s="138" t="str">
        <f>IF(C2="Intel","EZ60",IF(C2="tsmc","ET18","AJ99"))</f>
        <v>ET18</v>
      </c>
      <c r="L2" s="138" t="str">
        <f>IF(D2="Intel","EZ60",IF(D2="tsmc","ET18","AJ99"))</f>
        <v>AJ99</v>
      </c>
      <c r="Q2" t="s">
        <v>962</v>
      </c>
      <c r="R2">
        <f>SUM(MTBF_pareto[Phits last 4 wks])</f>
        <v>0</v>
      </c>
      <c r="S2">
        <f>SUM(MTBF_pareto[Uhits last 4wks])</f>
        <v>0</v>
      </c>
      <c r="T2">
        <f>SUM(MTBF_pareto[Phits last 4 wks - customer])</f>
        <v>0</v>
      </c>
      <c r="U2">
        <f>SUM(MTBF_pareto[Uhits last 4wks - customer])</f>
        <v>0</v>
      </c>
    </row>
    <row r="3" spans="1:24">
      <c r="B3" s="4" t="s">
        <v>963</v>
      </c>
      <c r="C3" s="139" t="s">
        <v>76</v>
      </c>
      <c r="J3" s="177" t="s">
        <v>964</v>
      </c>
      <c r="K3" s="138">
        <f>IF(INT(RIGHT(C4,2))&lt;4,2452-(3-INT(RIGHT(C4,2))),C4-3)</f>
        <v>2451</v>
      </c>
      <c r="Q3" t="s">
        <v>965</v>
      </c>
      <c r="R3">
        <f>COUNTIFS(Errorlog_table[P_Hits],"Y",Errorlog_table[Year_Week_Number],"&lt;="&amp;C4,Errorlog_table[Year_Week_Number],"&gt;="&amp;K3)</f>
        <v>0</v>
      </c>
      <c r="S3">
        <f>COUNTIFS(Errorlog_table[U_Hits],"Y",Errorlog_table[Year_Week_Number],"&lt;="&amp;C4,Errorlog_table[Year_Week_Number],"&gt;="&amp;K3)</f>
        <v>0</v>
      </c>
      <c r="T3">
        <f>COUNTIFS(Errorlog_table[P_Hits],"Y",Errorlog_table[Year_Week_Number],"&lt;="&amp;C4,Errorlog_table[Year_Week_Number],"&gt;="&amp;K3,Errorlog_table[System],K1)</f>
        <v>0</v>
      </c>
      <c r="U3">
        <f>COUNTIFS(Errorlog_table[U_Hits],"Y",Errorlog_table[Year_Week_Number],"&lt;="&amp;C4,Errorlog_table[Year_Week_Number],"&gt;="&amp;K3,Errorlog_table[System],K1)</f>
        <v>0</v>
      </c>
    </row>
    <row r="4" spans="1:24">
      <c r="B4" s="4" t="s">
        <v>966</v>
      </c>
      <c r="C4" s="165">
        <v>2502</v>
      </c>
      <c r="D4" s="165">
        <v>2442</v>
      </c>
      <c r="E4" s="37" t="str">
        <f>IF(LEFT(C4,2)&gt;LEFT(D4,2),(52-RIGHT(D4,2)+1)+RIGHT(C4,2),C4-D4+1)&amp;"wks timeframe"</f>
        <v>13wks timeframe</v>
      </c>
      <c r="G4" s="34"/>
    </row>
    <row r="5" spans="1:24">
      <c r="J5" s="138" t="str">
        <f>C1</f>
        <v>Intel</v>
      </c>
      <c r="K5" s="138" t="str">
        <f>C2</f>
        <v>tsmc</v>
      </c>
      <c r="L5" s="138" t="str">
        <f>D2</f>
        <v>SEC</v>
      </c>
      <c r="R5" s="532" t="s">
        <v>967</v>
      </c>
      <c r="S5" s="533"/>
      <c r="T5" s="532" t="str">
        <f>C1</f>
        <v>Intel</v>
      </c>
      <c r="U5" s="533"/>
    </row>
    <row r="6" spans="1:24">
      <c r="A6" s="174" t="s">
        <v>968</v>
      </c>
      <c r="B6" s="174" t="s">
        <v>969</v>
      </c>
      <c r="C6" s="132" t="s">
        <v>208</v>
      </c>
      <c r="D6" s="175" t="s">
        <v>970</v>
      </c>
      <c r="E6" s="175" t="s">
        <v>971</v>
      </c>
      <c r="F6" s="175" t="s">
        <v>972</v>
      </c>
      <c r="G6" s="175" t="s">
        <v>973</v>
      </c>
      <c r="H6" s="175" t="s">
        <v>204</v>
      </c>
      <c r="I6" s="175" t="s">
        <v>974</v>
      </c>
      <c r="J6" s="137" t="s">
        <v>975</v>
      </c>
      <c r="K6" s="137" t="s">
        <v>976</v>
      </c>
      <c r="L6" s="137" t="s">
        <v>977</v>
      </c>
      <c r="M6" s="132" t="s">
        <v>961</v>
      </c>
      <c r="N6" s="132" t="s">
        <v>82</v>
      </c>
      <c r="O6" s="132" t="s">
        <v>978</v>
      </c>
      <c r="P6" s="175" t="s">
        <v>979</v>
      </c>
      <c r="Q6" s="178" t="s">
        <v>980</v>
      </c>
      <c r="R6" s="132" t="s">
        <v>981</v>
      </c>
      <c r="S6" s="132" t="s">
        <v>982</v>
      </c>
      <c r="T6" s="132" t="s">
        <v>983</v>
      </c>
      <c r="U6" s="132" t="s">
        <v>984</v>
      </c>
      <c r="V6" s="132" t="s">
        <v>985</v>
      </c>
      <c r="W6" s="132" t="s">
        <v>986</v>
      </c>
      <c r="X6" s="132" t="s">
        <v>987</v>
      </c>
    </row>
    <row r="7" spans="1:24" hidden="1">
      <c r="A7" s="170" t="s">
        <v>988</v>
      </c>
      <c r="B7" s="170" t="str">
        <f>_xlfn.XLOOKUP(C7,Errorlog_table[AIR],Errorlog_table[Root_Error],"not found",0,-1)</f>
        <v>LAA-010B</v>
      </c>
      <c r="C7" s="3" t="s">
        <v>301</v>
      </c>
      <c r="D7" s="3" t="str">
        <f>_xlfn.XLOOKUP(MTBF_pareto[[#This Row],[AIR]],AIR_dump[Number],AIR_dump[Project lead],"N/A",0)</f>
        <v>NDRI</v>
      </c>
      <c r="E7"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7"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7"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 s="123" t="str">
        <f>_xlfn.XLOOKUP(C7,Errorlog_table[AIR],Errorlog_table[Description],"not found",0,-1)</f>
        <v>EpmID:107223| SRC - Lot abort, IS DO intermittent error | LAA-010B |</v>
      </c>
      <c r="I7" s="123" t="s">
        <v>989</v>
      </c>
      <c r="J7"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 s="2">
        <f>MTBF_pareto[[#This Row],[Main Customer]]+MTBF_pareto[[#This Row],[Other Customer1]]+MTBF_pareto[[#This Row],[Other Customer2]]</f>
        <v>0</v>
      </c>
      <c r="O7" s="2">
        <f>IF(MTBF_pareto[[#This Row],[Status]]="Solved",MTBF_pareto[[#This Row],[Downtime solved]],IF(MTBF_pareto[[#This Row],[Status]]="Open",MTBF_pareto[[#This Row],[Downtime open]],MTBF_pareto[[#This Row],[Downtime planned]]))</f>
        <v>0</v>
      </c>
      <c r="P7" s="123" t="str" cm="1">
        <f t="array" ref="P7">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 s="131" t="str" cm="1">
        <f t="array" ref="Q7">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 s="2">
        <f>COUNTIFS(Errorlog_table[AIR],MTBF_pareto[[#This Row],[AIR]],Errorlog_table[P_Hits],"Y",Errorlog_table[Year_Week_Number],"&gt;="&amp;$K$3,Errorlog_table[Year_Week_Number],"&lt;="&amp;$C$4)</f>
        <v>0</v>
      </c>
      <c r="S7" s="135">
        <f>COUNTIFS(Errorlog_table[AIR],MTBF_pareto[[#This Row],[AIR]],Errorlog_table[U_Hits],"Y",Errorlog_table[Year_Week_Number],"&gt;="&amp;$K$3,Errorlog_table[Year_Week_Number],"&lt;="&amp;$C$4)</f>
        <v>0</v>
      </c>
      <c r="T7" s="135">
        <f>COUNTIFS(Errorlog_table[AIR],MTBF_pareto[[#This Row],[AIR]],Errorlog_table[P_Hits],"Y",Errorlog_table[Year_Week_Number],"&gt;="&amp;$K$3,Errorlog_table[Year_Week_Number],"&lt;="&amp;$C$4,Errorlog_table[System],$K$1)</f>
        <v>0</v>
      </c>
      <c r="U7" s="135">
        <f>COUNTIFS(Errorlog_table[AIR],MTBF_pareto[[#This Row],[AIR]],Errorlog_table[U_Hits],"Y",Errorlog_table[Year_Week_Number],"&gt;="&amp;$K$3,Errorlog_table[Year_Week_Number],"&lt;="&amp;$C$4,Errorlog_table[System],$K$1)</f>
        <v>0</v>
      </c>
      <c r="V7" s="2">
        <v>1</v>
      </c>
      <c r="W7" s="135" t="s">
        <v>990</v>
      </c>
      <c r="X7" s="166" t="str">
        <f>_xlfn.XLOOKUP(MTBF_pareto[[#This Row],[AIR]],AIR_dump[Number],AIR_dump[Amb Work notes],"not on amb list",0)</f>
        <v xml:space="preserve">2503.1 16:22:24 - Shravan Rajagopalan (Amb Work notes)
Issue solved with DL Sw 4.2, then solution nor part of DL Sw 4.3 and then now added again in Sw4.4. This might also explain why we saw higher hit rate whe Sw4.3 was installed at customers
2452.2 14:35:57 - Shravan Rajagopalan (Amb Work notes)
wk51.2: Is there connection between this AIR and P829275 ?
wk49.3: Part swapped on EZ60 and issue not seen again since. Sw solution beta to be tested on SEC in wk51.4
wk48.3: RC to be completed by Trumpf tomorrow. Sw solution for Beta in wk51.1 directly to ONLY Intel. 
wk47.3: RC expected to be known in wk49. Containment via HW swap. HW returned from  customer to be investigated by supplier. Plan for Sw structural solution to be discussed next week. 
wk46.2: Data collected and shared with project. Do we have all the necessary data now? 
wk46.3: Issue on the contactor at Intel to be solved by swapping HW. P829275 is created at SEC. Project investigating if it is the same FM. 
wk45.3: OCAP provided and rolled out. Diagnostics improvements needed. Comback wk49
wk44.3: Hardware as root cause at Intel, lose contactor. Follow-up still tbd
wk43.3: RC understood. SW Patch currently only for EZ60 as containment. Need to still find a solution direction
wk42.3 Investigation ongoing, expected feedback by Trumpf wk42.4 
Wk42: New issue, intake ongoing
</v>
      </c>
    </row>
    <row r="8" spans="1:24" hidden="1">
      <c r="A8" s="170" t="s">
        <v>991</v>
      </c>
      <c r="B8" s="170" t="str">
        <f>_xlfn.XLOOKUP(C8,Errorlog_table[AIR],Errorlog_table[Root_Error],"not found",0,-1)</f>
        <v>WX-2508</v>
      </c>
      <c r="C8" s="3" t="s">
        <v>490</v>
      </c>
      <c r="D8" s="3" t="str">
        <f>_xlfn.XLOOKUP(MTBF_pareto[[#This Row],[AIR]],AIR_dump[Number],AIR_dump[Project lead],"N/A",0)</f>
        <v>THID</v>
      </c>
      <c r="E8"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8"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8" s="2">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H8" s="123" t="str">
        <f>_xlfn.XLOOKUP(C8,Errorlog_table[AIR],Errorlog_table[Description],"not found",0,-1)</f>
        <v>EpmID:114082| SCN - Lot abort WX-2508 | WX-2508 |</v>
      </c>
      <c r="I8" s="123" t="s">
        <v>992</v>
      </c>
      <c r="J8"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 s="2">
        <f>MTBF_pareto[[#This Row],[Main Customer]]+MTBF_pareto[[#This Row],[Other Customer1]]+MTBF_pareto[[#This Row],[Other Customer2]]</f>
        <v>0</v>
      </c>
      <c r="O8" s="2">
        <f>IF(MTBF_pareto[[#This Row],[Status]]="Solved",MTBF_pareto[[#This Row],[Downtime solved]],IF(MTBF_pareto[[#This Row],[Status]]="Open",MTBF_pareto[[#This Row],[Downtime open]],MTBF_pareto[[#This Row],[Downtime planned]]))</f>
        <v>0</v>
      </c>
      <c r="P8" s="123" t="str" cm="1">
        <f t="array" ref="P8">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 s="131" t="str" cm="1">
        <f t="array" ref="Q8">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 s="2">
        <f>COUNTIFS(Errorlog_table[AIR],MTBF_pareto[[#This Row],[AIR]],Errorlog_table[P_Hits],"Y",Errorlog_table[Year_Week_Number],"&gt;="&amp;$K$3,Errorlog_table[Year_Week_Number],"&lt;="&amp;$C$4)</f>
        <v>0</v>
      </c>
      <c r="S8" s="135">
        <f>COUNTIFS(Errorlog_table[AIR],MTBF_pareto[[#This Row],[AIR]],Errorlog_table[U_Hits],"Y",Errorlog_table[Year_Week_Number],"&gt;="&amp;$K$3,Errorlog_table[Year_Week_Number],"&lt;="&amp;$C$4)</f>
        <v>0</v>
      </c>
      <c r="T8" s="135">
        <f>COUNTIFS(Errorlog_table[AIR],MTBF_pareto[[#This Row],[AIR]],Errorlog_table[P_Hits],"Y",Errorlog_table[Year_Week_Number],"&gt;="&amp;$K$3,Errorlog_table[Year_Week_Number],"&lt;="&amp;$C$4,Errorlog_table[System],$K$1)</f>
        <v>0</v>
      </c>
      <c r="U8" s="135">
        <f>COUNTIFS(Errorlog_table[AIR],MTBF_pareto[[#This Row],[AIR]],Errorlog_table[U_Hits],"Y",Errorlog_table[Year_Week_Number],"&gt;="&amp;$K$3,Errorlog_table[Year_Week_Number],"&lt;="&amp;$C$4,Errorlog_table[System],$K$1)</f>
        <v>0</v>
      </c>
      <c r="V8" s="2">
        <v>1</v>
      </c>
      <c r="W8" s="2" t="s">
        <v>990</v>
      </c>
      <c r="X8" s="123" t="str">
        <f>_xlfn.XLOOKUP(MTBF_pareto[[#This Row],[AIR]],AIR_dump[Number],AIR_dump[Amb Work notes],"not on amb list",0)</f>
        <v xml:space="preserve">2452.2 15:43:18 - Shravan Rajagopalan (Amb Work notes)
[intake 2446]
wk50.2: Continue to monitor to ensure solution works
wk49.2: Being investigated and info coming in from LT.
</v>
      </c>
    </row>
    <row r="9" spans="1:24" hidden="1">
      <c r="A9" s="170" t="s">
        <v>988</v>
      </c>
      <c r="B9" s="170" t="str">
        <f>_xlfn.XLOOKUP(C9,Errorlog_table[AIR],Errorlog_table[Root_Error],"not found",0,-1)</f>
        <v>LAA-010B</v>
      </c>
      <c r="C9" s="3" t="s">
        <v>324</v>
      </c>
      <c r="D9" s="3" t="str">
        <f>_xlfn.XLOOKUP(MTBF_pareto[[#This Row],[AIR]],AIR_dump[Number],AIR_dump[Project lead],"N/A",0)</f>
        <v>NDRI</v>
      </c>
      <c r="E9"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9"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9"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9" s="123" t="str">
        <f>_xlfn.XLOOKUP(C9,Errorlog_table[AIR],Errorlog_table[Description],"not found",0,-1)</f>
        <v>EpmID:106269| SRC -  laser failed for LAA-010B | LAA-010B |</v>
      </c>
      <c r="I9" s="123" t="s">
        <v>993</v>
      </c>
      <c r="J9"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9"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9"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9"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9" s="2">
        <f>MTBF_pareto[[#This Row],[Main Customer]]+MTBF_pareto[[#This Row],[Other Customer1]]+MTBF_pareto[[#This Row],[Other Customer2]]</f>
        <v>0</v>
      </c>
      <c r="O9" s="2">
        <f>IF(MTBF_pareto[[#This Row],[Status]]="Solved",MTBF_pareto[[#This Row],[Downtime solved]],IF(MTBF_pareto[[#This Row],[Status]]="Open",MTBF_pareto[[#This Row],[Downtime open]],MTBF_pareto[[#This Row],[Downtime planned]]))</f>
        <v>0</v>
      </c>
      <c r="P9" s="123" t="str" cm="1">
        <f t="array" ref="P9">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9" s="131" t="str" cm="1">
        <f t="array" ref="Q9">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9" s="2">
        <f>COUNTIFS(Errorlog_table[AIR],MTBF_pareto[[#This Row],[AIR]],Errorlog_table[P_Hits],"Y",Errorlog_table[Year_Week_Number],"&gt;="&amp;$K$3,Errorlog_table[Year_Week_Number],"&lt;="&amp;$C$4)</f>
        <v>0</v>
      </c>
      <c r="S9" s="135">
        <f>COUNTIFS(Errorlog_table[AIR],MTBF_pareto[[#This Row],[AIR]],Errorlog_table[U_Hits],"Y",Errorlog_table[Year_Week_Number],"&gt;="&amp;$K$3,Errorlog_table[Year_Week_Number],"&lt;="&amp;$C$4)</f>
        <v>0</v>
      </c>
      <c r="T9" s="135">
        <f>COUNTIFS(Errorlog_table[AIR],MTBF_pareto[[#This Row],[AIR]],Errorlog_table[P_Hits],"Y",Errorlog_table[Year_Week_Number],"&gt;="&amp;$K$3,Errorlog_table[Year_Week_Number],"&lt;="&amp;$C$4,Errorlog_table[System],$K$1)</f>
        <v>0</v>
      </c>
      <c r="U9" s="135">
        <f>COUNTIFS(Errorlog_table[AIR],MTBF_pareto[[#This Row],[AIR]],Errorlog_table[U_Hits],"Y",Errorlog_table[Year_Week_Number],"&gt;="&amp;$K$3,Errorlog_table[Year_Week_Number],"&lt;="&amp;$C$4,Errorlog_table[System],$K$1)</f>
        <v>0</v>
      </c>
      <c r="V9" s="2">
        <v>1</v>
      </c>
      <c r="W9" s="2" t="s">
        <v>581</v>
      </c>
      <c r="X9" s="123" t="str">
        <f>_xlfn.XLOOKUP(MTBF_pareto[[#This Row],[AIR]],AIR_dump[Number],AIR_dump[Amb Work notes],"not on amb list",0)</f>
        <v/>
      </c>
    </row>
    <row r="10" spans="1:24">
      <c r="A10" s="170" t="s">
        <v>994</v>
      </c>
      <c r="B10" s="170" t="str">
        <f>_xlfn.XLOOKUP(C10,Errorlog_table[AIR],Errorlog_table[Root_Error],"not found",0,-1)</f>
        <v>not found</v>
      </c>
      <c r="C10" s="3" t="s">
        <v>995</v>
      </c>
      <c r="D10" s="3" t="str">
        <f>_xlfn.XLOOKUP(MTBF_pareto[[#This Row],[AIR]],AIR_dump[Number],AIR_dump[Project lead],"N/A",0)</f>
        <v>JKUZ</v>
      </c>
      <c r="E10"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10"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10"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10" s="123" t="str">
        <f>_xlfn.XLOOKUP(C10,Errorlog_table[AIR],Errorlog_table[Description],"not found",0,-1)</f>
        <v>not found</v>
      </c>
      <c r="I10" s="123" t="s">
        <v>996</v>
      </c>
      <c r="J10"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10"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10"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10"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10" s="2">
        <f>MTBF_pareto[[#This Row],[Main Customer]]+MTBF_pareto[[#This Row],[Other Customer1]]+MTBF_pareto[[#This Row],[Other Customer2]]</f>
        <v>0</v>
      </c>
      <c r="O10" s="2">
        <f>IF(MTBF_pareto[[#This Row],[Status]]="Solved",MTBF_pareto[[#This Row],[Downtime solved]],IF(MTBF_pareto[[#This Row],[Status]]="Open",MTBF_pareto[[#This Row],[Downtime open]],MTBF_pareto[[#This Row],[Downtime planned]]))</f>
        <v>0</v>
      </c>
      <c r="P10" s="123" t="str" cm="1">
        <f t="array" ref="P10">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10" s="131" t="str" cm="1">
        <f t="array" ref="Q10">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10" s="2">
        <f>COUNTIFS(Errorlog_table[AIR],MTBF_pareto[[#This Row],[AIR]],Errorlog_table[P_Hits],"Y",Errorlog_table[Year_Week_Number],"&gt;="&amp;$K$3,Errorlog_table[Year_Week_Number],"&lt;="&amp;$C$4)</f>
        <v>0</v>
      </c>
      <c r="S10" s="135">
        <f>COUNTIFS(Errorlog_table[AIR],MTBF_pareto[[#This Row],[AIR]],Errorlog_table[U_Hits],"Y",Errorlog_table[Year_Week_Number],"&gt;="&amp;$K$3,Errorlog_table[Year_Week_Number],"&lt;="&amp;$C$4)</f>
        <v>0</v>
      </c>
      <c r="T10" s="135">
        <f>COUNTIFS(Errorlog_table[AIR],MTBF_pareto[[#This Row],[AIR]],Errorlog_table[P_Hits],"Y",Errorlog_table[Year_Week_Number],"&gt;="&amp;$K$3,Errorlog_table[Year_Week_Number],"&lt;="&amp;$C$4,Errorlog_table[System],$K$1)</f>
        <v>0</v>
      </c>
      <c r="U10" s="135">
        <f>COUNTIFS(Errorlog_table[AIR],MTBF_pareto[[#This Row],[AIR]],Errorlog_table[U_Hits],"Y",Errorlog_table[Year_Week_Number],"&gt;="&amp;$K$3,Errorlog_table[Year_Week_Number],"&lt;="&amp;$C$4,Errorlog_table[System],$K$1)</f>
        <v>0</v>
      </c>
      <c r="V10" s="2">
        <v>2</v>
      </c>
      <c r="W10" s="2" t="s">
        <v>990</v>
      </c>
      <c r="X10" s="123" t="str">
        <f>_xlfn.XLOOKUP(MTBF_pareto[[#This Row],[AIR]],AIR_dump[Number],AIR_dump[Amb Work notes],"not on amb list",0)</f>
        <v/>
      </c>
    </row>
    <row r="11" spans="1:24">
      <c r="A11" s="170" t="s">
        <v>994</v>
      </c>
      <c r="B11" s="170" t="str">
        <f>_xlfn.XLOOKUP(C11,Errorlog_table[AIR],Errorlog_table[Root_Error],"not found",0,-1)</f>
        <v>not found</v>
      </c>
      <c r="C11" s="3" t="s">
        <v>997</v>
      </c>
      <c r="D11" s="3" t="str">
        <f>_xlfn.XLOOKUP(MTBF_pareto[[#This Row],[AIR]],AIR_dump[Number],AIR_dump[Project lead],"N/A",0)</f>
        <v>N/A</v>
      </c>
      <c r="E11"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11"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11"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11" s="123" t="str">
        <f>_xlfn.XLOOKUP(C11,Errorlog_table[AIR],Errorlog_table[Description],"not found",0,-1)</f>
        <v>not found</v>
      </c>
      <c r="I11" s="123" t="s">
        <v>998</v>
      </c>
      <c r="J11"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11"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11"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11"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11" s="2">
        <f>MTBF_pareto[[#This Row],[Main Customer]]+MTBF_pareto[[#This Row],[Other Customer1]]+MTBF_pareto[[#This Row],[Other Customer2]]</f>
        <v>0</v>
      </c>
      <c r="O11" s="2">
        <f>IF(MTBF_pareto[[#This Row],[Status]]="Solved",MTBF_pareto[[#This Row],[Downtime solved]],IF(MTBF_pareto[[#This Row],[Status]]="Open",MTBF_pareto[[#This Row],[Downtime open]],MTBF_pareto[[#This Row],[Downtime planned]]))</f>
        <v>0</v>
      </c>
      <c r="P11" s="123" t="str" cm="1">
        <f t="array" ref="P11">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11" s="131" t="str" cm="1">
        <f t="array" ref="Q11">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11" s="2">
        <f>COUNTIFS(Errorlog_table[AIR],MTBF_pareto[[#This Row],[AIR]],Errorlog_table[P_Hits],"Y",Errorlog_table[Year_Week_Number],"&gt;="&amp;$K$3,Errorlog_table[Year_Week_Number],"&lt;="&amp;$C$4)</f>
        <v>0</v>
      </c>
      <c r="S11" s="135">
        <f>COUNTIFS(Errorlog_table[AIR],MTBF_pareto[[#This Row],[AIR]],Errorlog_table[U_Hits],"Y",Errorlog_table[Year_Week_Number],"&gt;="&amp;$K$3,Errorlog_table[Year_Week_Number],"&lt;="&amp;$C$4)</f>
        <v>0</v>
      </c>
      <c r="T11" s="135">
        <f>COUNTIFS(Errorlog_table[AIR],MTBF_pareto[[#This Row],[AIR]],Errorlog_table[P_Hits],"Y",Errorlog_table[Year_Week_Number],"&gt;="&amp;$K$3,Errorlog_table[Year_Week_Number],"&lt;="&amp;$C$4,Errorlog_table[System],$K$1)</f>
        <v>0</v>
      </c>
      <c r="U11" s="135">
        <f>COUNTIFS(Errorlog_table[AIR],MTBF_pareto[[#This Row],[AIR]],Errorlog_table[U_Hits],"Y",Errorlog_table[Year_Week_Number],"&gt;="&amp;$K$3,Errorlog_table[Year_Week_Number],"&lt;="&amp;$C$4,Errorlog_table[System],$K$1)</f>
        <v>0</v>
      </c>
      <c r="V11" s="2">
        <v>2</v>
      </c>
      <c r="W11" s="2" t="s">
        <v>990</v>
      </c>
      <c r="X11" s="123" t="str">
        <f>_xlfn.XLOOKUP(MTBF_pareto[[#This Row],[AIR]],AIR_dump[Number],AIR_dump[Amb Work notes],"not on amb list",0)</f>
        <v>not on amb list</v>
      </c>
    </row>
    <row r="12" spans="1:24" hidden="1">
      <c r="A12" s="170" t="s">
        <v>988</v>
      </c>
      <c r="B12" s="170" t="str">
        <f>_xlfn.XLOOKUP(C12,Errorlog_table[AIR],Errorlog_table[Root_Error],"not found",0,-1)</f>
        <v>not found</v>
      </c>
      <c r="C12" s="3" t="s">
        <v>999</v>
      </c>
      <c r="D12" s="3" t="str">
        <f>_xlfn.XLOOKUP(MTBF_pareto[[#This Row],[AIR]],AIR_dump[Number],AIR_dump[Project lead],"N/A",0)</f>
        <v>MRHR</v>
      </c>
      <c r="E12"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12"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12"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12" s="123" t="str">
        <f>_xlfn.XLOOKUP(C12,Errorlog_table[AIR],Errorlog_table[Description],"not found",0,-1)</f>
        <v>not found</v>
      </c>
      <c r="I12" s="123" t="s">
        <v>1000</v>
      </c>
      <c r="J12"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12"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12"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12"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12" s="2">
        <f>MTBF_pareto[[#This Row],[Main Customer]]+MTBF_pareto[[#This Row],[Other Customer1]]+MTBF_pareto[[#This Row],[Other Customer2]]</f>
        <v>0</v>
      </c>
      <c r="O12" s="2">
        <f>IF(MTBF_pareto[[#This Row],[Status]]="Solved",MTBF_pareto[[#This Row],[Downtime solved]],IF(MTBF_pareto[[#This Row],[Status]]="Open",MTBF_pareto[[#This Row],[Downtime open]],MTBF_pareto[[#This Row],[Downtime planned]]))</f>
        <v>0</v>
      </c>
      <c r="P12" s="123" t="str" cm="1">
        <f t="array" ref="P12">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12" s="131" t="str" cm="1">
        <f t="array" ref="Q12">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12" s="2">
        <f>COUNTIFS(Errorlog_table[AIR],MTBF_pareto[[#This Row],[AIR]],Errorlog_table[P_Hits],"Y",Errorlog_table[Year_Week_Number],"&gt;="&amp;$K$3,Errorlog_table[Year_Week_Number],"&lt;="&amp;$C$4)</f>
        <v>0</v>
      </c>
      <c r="S12" s="135">
        <f>COUNTIFS(Errorlog_table[AIR],MTBF_pareto[[#This Row],[AIR]],Errorlog_table[U_Hits],"Y",Errorlog_table[Year_Week_Number],"&gt;="&amp;$K$3,Errorlog_table[Year_Week_Number],"&lt;="&amp;$C$4)</f>
        <v>0</v>
      </c>
      <c r="T12" s="135">
        <f>COUNTIFS(Errorlog_table[AIR],MTBF_pareto[[#This Row],[AIR]],Errorlog_table[P_Hits],"Y",Errorlog_table[Year_Week_Number],"&gt;="&amp;$K$3,Errorlog_table[Year_Week_Number],"&lt;="&amp;$C$4,Errorlog_table[System],$K$1)</f>
        <v>0</v>
      </c>
      <c r="U12" s="135">
        <f>COUNTIFS(Errorlog_table[AIR],MTBF_pareto[[#This Row],[AIR]],Errorlog_table[U_Hits],"Y",Errorlog_table[Year_Week_Number],"&gt;="&amp;$K$3,Errorlog_table[Year_Week_Number],"&lt;="&amp;$C$4,Errorlog_table[System],$K$1)</f>
        <v>0</v>
      </c>
      <c r="V12" s="2">
        <v>1</v>
      </c>
      <c r="W12" s="2" t="s">
        <v>581</v>
      </c>
      <c r="X12" s="123" t="str">
        <f>_xlfn.XLOOKUP(MTBF_pareto[[#This Row],[AIR]],AIR_dump[Number],AIR_dump[Amb Work notes],"not on amb list",0)</f>
        <v xml:space="preserve">2452.2 15:01:21 - Shravan Rajagopalan (Amb Work notes)
wk51.3: 9k and QBL delivery on wk51.4"
wk50.3: Project to hand over 5k to test TPT impact on Pr20 if TB issues persist.  Reliab to take along SWI on agreement to release before QBL 
wk49.3: QBL and 5k SP38 HOI wk51.5. Take along 4k ASAP. Project to follow up with SWI to make sure support is there in wk51-wk52
wk48.3: 9k on SP36 delivered already for IBS. 9k for SP38 HOI blocked by QBL delivery. Need a solution direction by wk48.5 
wk47.3: Hit from 3800 will be contained with solution from IBS. Containmnet for issue to be delivered via 5k on SP38 and SP39 in wk50. Confrim by Friday
wk46.3: Solution direction still not clear. Monitor for next hit
"Wk46: RCA ongoing
</v>
      </c>
    </row>
    <row r="13" spans="1:24">
      <c r="A13" s="170" t="s">
        <v>994</v>
      </c>
      <c r="B13" s="170" t="str">
        <f>_xlfn.XLOOKUP(C13,Errorlog_table[AIR],Errorlog_table[Root_Error],"not found",0,-1)</f>
        <v>not found</v>
      </c>
      <c r="C13" s="3" t="s">
        <v>1001</v>
      </c>
      <c r="D13" s="3" t="str">
        <f>_xlfn.XLOOKUP(MTBF_pareto[[#This Row],[AIR]],AIR_dump[Number],AIR_dump[Project lead],"N/A",0)</f>
        <v>THID</v>
      </c>
      <c r="E13"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13"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13"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13" s="123" t="str">
        <f>_xlfn.XLOOKUP(C13,Errorlog_table[AIR],Errorlog_table[Description],"not found",0,-1)</f>
        <v>not found</v>
      </c>
      <c r="I13" s="123" t="s">
        <v>1002</v>
      </c>
      <c r="J13"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13"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13"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13"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13" s="2">
        <f>MTBF_pareto[[#This Row],[Main Customer]]+MTBF_pareto[[#This Row],[Other Customer1]]+MTBF_pareto[[#This Row],[Other Customer2]]</f>
        <v>0</v>
      </c>
      <c r="O13" s="2">
        <f>IF(MTBF_pareto[[#This Row],[Status]]="Solved",MTBF_pareto[[#This Row],[Downtime solved]],IF(MTBF_pareto[[#This Row],[Status]]="Open",MTBF_pareto[[#This Row],[Downtime open]],MTBF_pareto[[#This Row],[Downtime planned]]))</f>
        <v>0</v>
      </c>
      <c r="P13" s="123" t="str" cm="1">
        <f t="array" ref="P13">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13" s="131" t="str" cm="1">
        <f t="array" ref="Q13">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13" s="2">
        <f>COUNTIFS(Errorlog_table[AIR],MTBF_pareto[[#This Row],[AIR]],Errorlog_table[P_Hits],"Y",Errorlog_table[Year_Week_Number],"&gt;="&amp;$K$3,Errorlog_table[Year_Week_Number],"&lt;="&amp;$C$4)</f>
        <v>0</v>
      </c>
      <c r="S13" s="135">
        <f>COUNTIFS(Errorlog_table[AIR],MTBF_pareto[[#This Row],[AIR]],Errorlog_table[U_Hits],"Y",Errorlog_table[Year_Week_Number],"&gt;="&amp;$K$3,Errorlog_table[Year_Week_Number],"&lt;="&amp;$C$4)</f>
        <v>0</v>
      </c>
      <c r="T13" s="135">
        <f>COUNTIFS(Errorlog_table[AIR],MTBF_pareto[[#This Row],[AIR]],Errorlog_table[P_Hits],"Y",Errorlog_table[Year_Week_Number],"&gt;="&amp;$K$3,Errorlog_table[Year_Week_Number],"&lt;="&amp;$C$4,Errorlog_table[System],$K$1)</f>
        <v>0</v>
      </c>
      <c r="U13" s="135">
        <f>COUNTIFS(Errorlog_table[AIR],MTBF_pareto[[#This Row],[AIR]],Errorlog_table[U_Hits],"Y",Errorlog_table[Year_Week_Number],"&gt;="&amp;$K$3,Errorlog_table[Year_Week_Number],"&lt;="&amp;$C$4,Errorlog_table[System],$K$1)</f>
        <v>0</v>
      </c>
      <c r="V13" s="2">
        <v>1</v>
      </c>
      <c r="W13" s="2" t="s">
        <v>581</v>
      </c>
      <c r="X13" s="123" t="str">
        <f>_xlfn.XLOOKUP(MTBF_pareto[[#This Row],[AIR]],AIR_dump[Number],AIR_dump[Amb Work notes],"not on amb list",0)</f>
        <v xml:space="preserve">2452.2 15:41:51 - Shravan Rajagopalan (Amb Work notes)
[intake 2438]
wk49.5: 9k SP38 HOI wk50.5. Customer release wk51 
wk49.2: Still likely to be on track for QBL this week  
wk48.5: Comeback on 49.2,. Good chance to make it on time 
wk47.2: Thijs to check if solution can be delivered in wk50. 
wk46.5: EDS out for check and RC clear. Expect to be on track 
wk43.5: RC known. Solution direction known 
wk41.5: Issue under investigation. RC not known yet
</v>
      </c>
    </row>
    <row r="14" spans="1:24" hidden="1">
      <c r="A14" s="170" t="s">
        <v>988</v>
      </c>
      <c r="B14" s="170" t="str">
        <f>_xlfn.XLOOKUP(C14,Errorlog_table[AIR],Errorlog_table[Root_Error],"not found",0,-1)</f>
        <v>not found</v>
      </c>
      <c r="C14" s="3" t="s">
        <v>1003</v>
      </c>
      <c r="D14" s="3" t="str">
        <f>_xlfn.XLOOKUP(MTBF_pareto[[#This Row],[AIR]],AIR_dump[Number],AIR_dump[Project lead],"N/A",0)</f>
        <v>THID</v>
      </c>
      <c r="E14"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14"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14"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14" s="123" t="str">
        <f>_xlfn.XLOOKUP(C14,Errorlog_table[AIR],Errorlog_table[Description],"not found",0,-1)</f>
        <v>not found</v>
      </c>
      <c r="I14" s="123" t="s">
        <v>1004</v>
      </c>
      <c r="J14"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14"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14"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14"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14" s="2">
        <f>MTBF_pareto[[#This Row],[Main Customer]]+MTBF_pareto[[#This Row],[Other Customer1]]+MTBF_pareto[[#This Row],[Other Customer2]]</f>
        <v>0</v>
      </c>
      <c r="O14" s="2">
        <f>IF(MTBF_pareto[[#This Row],[Status]]="Solved",MTBF_pareto[[#This Row],[Downtime solved]],IF(MTBF_pareto[[#This Row],[Status]]="Open",MTBF_pareto[[#This Row],[Downtime open]],MTBF_pareto[[#This Row],[Downtime planned]]))</f>
        <v>0</v>
      </c>
      <c r="P14" s="123" t="str" cm="1">
        <f t="array" ref="P14">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14" s="131" t="str" cm="1">
        <f t="array" ref="Q14">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14" s="2">
        <f>COUNTIFS(Errorlog_table[AIR],MTBF_pareto[[#This Row],[AIR]],Errorlog_table[P_Hits],"Y",Errorlog_table[Year_Week_Number],"&gt;="&amp;$K$3,Errorlog_table[Year_Week_Number],"&lt;="&amp;$C$4)</f>
        <v>0</v>
      </c>
      <c r="S14" s="135">
        <f>COUNTIFS(Errorlog_table[AIR],MTBF_pareto[[#This Row],[AIR]],Errorlog_table[U_Hits],"Y",Errorlog_table[Year_Week_Number],"&gt;="&amp;$K$3,Errorlog_table[Year_Week_Number],"&lt;="&amp;$C$4)</f>
        <v>0</v>
      </c>
      <c r="T14" s="135">
        <f>COUNTIFS(Errorlog_table[AIR],MTBF_pareto[[#This Row],[AIR]],Errorlog_table[P_Hits],"Y",Errorlog_table[Year_Week_Number],"&gt;="&amp;$K$3,Errorlog_table[Year_Week_Number],"&lt;="&amp;$C$4,Errorlog_table[System],$K$1)</f>
        <v>0</v>
      </c>
      <c r="U14" s="135">
        <f>COUNTIFS(Errorlog_table[AIR],MTBF_pareto[[#This Row],[AIR]],Errorlog_table[U_Hits],"Y",Errorlog_table[Year_Week_Number],"&gt;="&amp;$K$3,Errorlog_table[Year_Week_Number],"&lt;="&amp;$C$4,Errorlog_table[System],$K$1)</f>
        <v>0</v>
      </c>
      <c r="V14" s="2">
        <v>1</v>
      </c>
      <c r="W14" s="2" t="s">
        <v>581</v>
      </c>
      <c r="X14" s="123" t="str">
        <f>_xlfn.XLOOKUP(MTBF_pareto[[#This Row],[AIR]],AIR_dump[Number],AIR_dump[Amb Work notes],"not on amb list",0)</f>
        <v/>
      </c>
    </row>
    <row r="15" spans="1:24">
      <c r="A15" s="170" t="s">
        <v>994</v>
      </c>
      <c r="B15" s="170" t="str">
        <f>_xlfn.XLOOKUP(C15,Errorlog_table[AIR],Errorlog_table[Root_Error],"not found",0,-1)</f>
        <v>not found</v>
      </c>
      <c r="C15" s="3" t="s">
        <v>1005</v>
      </c>
      <c r="D15" s="3" t="str">
        <f>_xlfn.XLOOKUP(MTBF_pareto[[#This Row],[AIR]],AIR_dump[Number],AIR_dump[Project lead],"N/A",0)</f>
        <v>SDOO</v>
      </c>
      <c r="E15"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15"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15"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15" s="123" t="str">
        <f>_xlfn.XLOOKUP(C15,Errorlog_table[AIR],Errorlog_table[Description],"not found",0,-1)</f>
        <v>not found</v>
      </c>
      <c r="I15" s="123" t="s">
        <v>1006</v>
      </c>
      <c r="J15"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15"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15"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15"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15" s="2">
        <f>MTBF_pareto[[#This Row],[Main Customer]]+MTBF_pareto[[#This Row],[Other Customer1]]+MTBF_pareto[[#This Row],[Other Customer2]]</f>
        <v>0</v>
      </c>
      <c r="O15" s="2">
        <f>IF(MTBF_pareto[[#This Row],[Status]]="Solved",MTBF_pareto[[#This Row],[Downtime solved]],IF(MTBF_pareto[[#This Row],[Status]]="Open",MTBF_pareto[[#This Row],[Downtime open]],MTBF_pareto[[#This Row],[Downtime planned]]))</f>
        <v>0</v>
      </c>
      <c r="P15" s="123" t="str" cm="1">
        <f t="array" ref="P15">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15" s="131" t="str" cm="1">
        <f t="array" ref="Q15">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15" s="2">
        <f>COUNTIFS(Errorlog_table[AIR],MTBF_pareto[[#This Row],[AIR]],Errorlog_table[P_Hits],"Y",Errorlog_table[Year_Week_Number],"&gt;="&amp;$K$3,Errorlog_table[Year_Week_Number],"&lt;="&amp;$C$4)</f>
        <v>0</v>
      </c>
      <c r="S15" s="135">
        <f>COUNTIFS(Errorlog_table[AIR],MTBF_pareto[[#This Row],[AIR]],Errorlog_table[U_Hits],"Y",Errorlog_table[Year_Week_Number],"&gt;="&amp;$K$3,Errorlog_table[Year_Week_Number],"&lt;="&amp;$C$4)</f>
        <v>0</v>
      </c>
      <c r="T15" s="135">
        <f>COUNTIFS(Errorlog_table[AIR],MTBF_pareto[[#This Row],[AIR]],Errorlog_table[P_Hits],"Y",Errorlog_table[Year_Week_Number],"&gt;="&amp;$K$3,Errorlog_table[Year_Week_Number],"&lt;="&amp;$C$4,Errorlog_table[System],$K$1)</f>
        <v>0</v>
      </c>
      <c r="U15" s="135">
        <f>COUNTIFS(Errorlog_table[AIR],MTBF_pareto[[#This Row],[AIR]],Errorlog_table[U_Hits],"Y",Errorlog_table[Year_Week_Number],"&gt;="&amp;$K$3,Errorlog_table[Year_Week_Number],"&lt;="&amp;$C$4,Errorlog_table[System],$K$1)</f>
        <v>0</v>
      </c>
      <c r="V15" s="2">
        <v>2</v>
      </c>
      <c r="W15" s="2" t="s">
        <v>990</v>
      </c>
      <c r="X15" s="123" t="str">
        <f>_xlfn.XLOOKUP(MTBF_pareto[[#This Row],[AIR]],AIR_dump[Number],AIR_dump[Amb Work notes],"not on amb list",0)</f>
        <v xml:space="preserve">2503.3 14:28:34 - Isaac Castanedo Guerra (Amb Work notes)
Sent update on wk3.2; suspect is high voltage infra. Propose test plan to Intel but got delayed. EF pilot suffering the same issue. Ongoing during this wk3.  Working to expedite new HIPA design with suppliers. Design is finished. Supplier to come up with rollout plan.
2452.2 15:48:11 - Shravan Rajagopalan (Amb Work notes)
wk49.3: Follow up with JKUZ"
wk49.3: Follow up with JKUZ wk49: Solution rollout plan required
</v>
      </c>
    </row>
    <row r="16" spans="1:24">
      <c r="A16" s="170" t="s">
        <v>994</v>
      </c>
      <c r="B16" s="170" t="str">
        <f>_xlfn.XLOOKUP(C16,Errorlog_table[AIR],Errorlog_table[Root_Error],"not found",0,-1)</f>
        <v>not found</v>
      </c>
      <c r="C16" s="3" t="s">
        <v>1007</v>
      </c>
      <c r="D16" s="3" t="str">
        <f>_xlfn.XLOOKUP(MTBF_pareto[[#This Row],[AIR]],AIR_dump[Number],AIR_dump[Project lead],"N/A",0)</f>
        <v>RILI</v>
      </c>
      <c r="E16"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16"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16"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16" s="123" t="str">
        <f>_xlfn.XLOOKUP(C16,Errorlog_table[AIR],Errorlog_table[Description],"not found",0,-1)</f>
        <v>not found</v>
      </c>
      <c r="I16" s="123" t="s">
        <v>1008</v>
      </c>
      <c r="J16"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16"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16"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16"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16" s="2">
        <f>MTBF_pareto[[#This Row],[Main Customer]]+MTBF_pareto[[#This Row],[Other Customer1]]+MTBF_pareto[[#This Row],[Other Customer2]]</f>
        <v>0</v>
      </c>
      <c r="O16" s="2">
        <f>IF(MTBF_pareto[[#This Row],[Status]]="Solved",MTBF_pareto[[#This Row],[Downtime solved]],IF(MTBF_pareto[[#This Row],[Status]]="Open",MTBF_pareto[[#This Row],[Downtime open]],MTBF_pareto[[#This Row],[Downtime planned]]))</f>
        <v>0</v>
      </c>
      <c r="P16" s="123" t="str" cm="1">
        <f t="array" ref="P16">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16" s="131" t="str" cm="1">
        <f t="array" ref="Q16">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16" s="2">
        <f>COUNTIFS(Errorlog_table[AIR],MTBF_pareto[[#This Row],[AIR]],Errorlog_table[P_Hits],"Y",Errorlog_table[Year_Week_Number],"&gt;="&amp;$K$3,Errorlog_table[Year_Week_Number],"&lt;="&amp;$C$4)</f>
        <v>0</v>
      </c>
      <c r="S16" s="135">
        <f>COUNTIFS(Errorlog_table[AIR],MTBF_pareto[[#This Row],[AIR]],Errorlog_table[U_Hits],"Y",Errorlog_table[Year_Week_Number],"&gt;="&amp;$K$3,Errorlog_table[Year_Week_Number],"&lt;="&amp;$C$4)</f>
        <v>0</v>
      </c>
      <c r="T16" s="135">
        <f>COUNTIFS(Errorlog_table[AIR],MTBF_pareto[[#This Row],[AIR]],Errorlog_table[P_Hits],"Y",Errorlog_table[Year_Week_Number],"&gt;="&amp;$K$3,Errorlog_table[Year_Week_Number],"&lt;="&amp;$C$4,Errorlog_table[System],$K$1)</f>
        <v>0</v>
      </c>
      <c r="U16" s="135">
        <f>COUNTIFS(Errorlog_table[AIR],MTBF_pareto[[#This Row],[AIR]],Errorlog_table[U_Hits],"Y",Errorlog_table[Year_Week_Number],"&gt;="&amp;$K$3,Errorlog_table[Year_Week_Number],"&lt;="&amp;$C$4,Errorlog_table[System],$K$1)</f>
        <v>0</v>
      </c>
      <c r="V16" s="2">
        <v>1</v>
      </c>
      <c r="W16" s="2" t="s">
        <v>581</v>
      </c>
      <c r="X16" s="123" t="str">
        <f>_xlfn.XLOOKUP(MTBF_pareto[[#This Row],[AIR]],AIR_dump[Number],AIR_dump[Amb Work notes],"not on amb list",0)</f>
        <v xml:space="preserve">2503.3 13:37:15 - Isaac Castanedo Guerra (Amb Work notes)
come back next week 4 to check if diag patch is available
2503.3 13:36:47 - Isaac Castanedo Guerra (Amb Work notes)
Missing scan concatenations during WEX. Investigation is ongoing. Diagnostic patch to be created together with Computer systems. To be installed in proto wk4.
2502.3 14:43:24 - Shravan Rajagopalan (Amb Work notes)
Issue should be transferred to WS due to WEX functionality
</v>
      </c>
    </row>
    <row r="17" spans="1:24" hidden="1">
      <c r="A17" s="170" t="s">
        <v>988</v>
      </c>
      <c r="B17" s="170" t="str">
        <f>_xlfn.XLOOKUP(C17,Errorlog_table[AIR],Errorlog_table[Root_Error],"not found",0,-1)</f>
        <v>not found</v>
      </c>
      <c r="C17" s="3" t="s">
        <v>1009</v>
      </c>
      <c r="D17" s="3" t="str">
        <f>_xlfn.XLOOKUP(MTBF_pareto[[#This Row],[AIR]],AIR_dump[Number],AIR_dump[Project lead],"N/A",0)</f>
        <v>THID</v>
      </c>
      <c r="E17"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17"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17"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17" s="123" t="str">
        <f>_xlfn.XLOOKUP(C17,Errorlog_table[AIR],Errorlog_table[Description],"not found",0,-1)</f>
        <v>not found</v>
      </c>
      <c r="I17" s="123" t="s">
        <v>1000</v>
      </c>
      <c r="J17"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17"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17"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17"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17" s="2">
        <f>MTBF_pareto[[#This Row],[Main Customer]]+MTBF_pareto[[#This Row],[Other Customer1]]+MTBF_pareto[[#This Row],[Other Customer2]]</f>
        <v>0</v>
      </c>
      <c r="O17" s="2">
        <f>IF(MTBF_pareto[[#This Row],[Status]]="Solved",MTBF_pareto[[#This Row],[Downtime solved]],IF(MTBF_pareto[[#This Row],[Status]]="Open",MTBF_pareto[[#This Row],[Downtime open]],MTBF_pareto[[#This Row],[Downtime planned]]))</f>
        <v>0</v>
      </c>
      <c r="P17" s="123" t="str" cm="1">
        <f t="array" ref="P17">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17" s="131" t="str" cm="1">
        <f t="array" ref="Q17">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17" s="2">
        <f>COUNTIFS(Errorlog_table[AIR],MTBF_pareto[[#This Row],[AIR]],Errorlog_table[P_Hits],"Y",Errorlog_table[Year_Week_Number],"&gt;="&amp;$K$3,Errorlog_table[Year_Week_Number],"&lt;="&amp;$C$4)</f>
        <v>0</v>
      </c>
      <c r="S17" s="135">
        <f>COUNTIFS(Errorlog_table[AIR],MTBF_pareto[[#This Row],[AIR]],Errorlog_table[U_Hits],"Y",Errorlog_table[Year_Week_Number],"&gt;="&amp;$K$3,Errorlog_table[Year_Week_Number],"&lt;="&amp;$C$4)</f>
        <v>0</v>
      </c>
      <c r="T17" s="135">
        <f>COUNTIFS(Errorlog_table[AIR],MTBF_pareto[[#This Row],[AIR]],Errorlog_table[P_Hits],"Y",Errorlog_table[Year_Week_Number],"&gt;="&amp;$K$3,Errorlog_table[Year_Week_Number],"&lt;="&amp;$C$4,Errorlog_table[System],$K$1)</f>
        <v>0</v>
      </c>
      <c r="U17" s="135">
        <f>COUNTIFS(Errorlog_table[AIR],MTBF_pareto[[#This Row],[AIR]],Errorlog_table[U_Hits],"Y",Errorlog_table[Year_Week_Number],"&gt;="&amp;$K$3,Errorlog_table[Year_Week_Number],"&lt;="&amp;$C$4,Errorlog_table[System],$K$1)</f>
        <v>0</v>
      </c>
      <c r="V17" s="2">
        <v>1</v>
      </c>
      <c r="W17" s="2" t="s">
        <v>581</v>
      </c>
      <c r="X17" s="123" t="str">
        <f>_xlfn.XLOOKUP(MTBF_pareto[[#This Row],[AIR]],AIR_dump[Number],AIR_dump[Amb Work notes],"not on amb list",0)</f>
        <v xml:space="preserve">2452.2 15:41:11 - Shravan Rajagopalan (Amb Work notes)
[intake 2442]
wk49.5: 9k SP39 HOI wk50.5
wk49.2: QBL in wk49.3
wk48.5: On track
wk47.2: Plan to deliver in wk50
wk46.2: Possibility to have it in Batch 6 wk48
</v>
      </c>
    </row>
    <row r="18" spans="1:24" hidden="1">
      <c r="A18" s="170" t="s">
        <v>991</v>
      </c>
      <c r="B18" s="170" t="str">
        <f>_xlfn.XLOOKUP(C18,Errorlog_table[AIR],Errorlog_table[Root_Error],"not found",0,-1)</f>
        <v>not found</v>
      </c>
      <c r="C18" s="3" t="s">
        <v>1010</v>
      </c>
      <c r="D18" s="3" t="str">
        <f>_xlfn.XLOOKUP(MTBF_pareto[[#This Row],[AIR]],AIR_dump[Number],AIR_dump[Project lead],"N/A",0)</f>
        <v>OBOI</v>
      </c>
      <c r="E18"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18"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18" s="2">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H18" s="123" t="str">
        <f>_xlfn.XLOOKUP(C18,Errorlog_table[AIR],Errorlog_table[Description],"not found",0,-1)</f>
        <v>not found</v>
      </c>
      <c r="I18" s="123" t="s">
        <v>1011</v>
      </c>
      <c r="J18"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18"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18"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18"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18" s="2">
        <f>MTBF_pareto[[#This Row],[Main Customer]]+MTBF_pareto[[#This Row],[Other Customer1]]+MTBF_pareto[[#This Row],[Other Customer2]]</f>
        <v>0</v>
      </c>
      <c r="O18" s="2">
        <f>IF(MTBF_pareto[[#This Row],[Status]]="Solved",MTBF_pareto[[#This Row],[Downtime solved]],IF(MTBF_pareto[[#This Row],[Status]]="Open",MTBF_pareto[[#This Row],[Downtime open]],MTBF_pareto[[#This Row],[Downtime planned]]))</f>
        <v>0</v>
      </c>
      <c r="P18" s="123" t="str" cm="1">
        <f t="array" ref="P18">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18" s="131" t="str" cm="1">
        <f t="array" ref="Q18">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18" s="2">
        <f>COUNTIFS(Errorlog_table[AIR],MTBF_pareto[[#This Row],[AIR]],Errorlog_table[P_Hits],"Y",Errorlog_table[Year_Week_Number],"&gt;="&amp;$K$3,Errorlog_table[Year_Week_Number],"&lt;="&amp;$C$4)</f>
        <v>0</v>
      </c>
      <c r="S18" s="135">
        <f>COUNTIFS(Errorlog_table[AIR],MTBF_pareto[[#This Row],[AIR]],Errorlog_table[U_Hits],"Y",Errorlog_table[Year_Week_Number],"&gt;="&amp;$K$3,Errorlog_table[Year_Week_Number],"&lt;="&amp;$C$4)</f>
        <v>0</v>
      </c>
      <c r="T18" s="135">
        <f>COUNTIFS(Errorlog_table[AIR],MTBF_pareto[[#This Row],[AIR]],Errorlog_table[P_Hits],"Y",Errorlog_table[Year_Week_Number],"&gt;="&amp;$K$3,Errorlog_table[Year_Week_Number],"&lt;="&amp;$C$4,Errorlog_table[System],$K$1)</f>
        <v>0</v>
      </c>
      <c r="U18" s="135">
        <f>COUNTIFS(Errorlog_table[AIR],MTBF_pareto[[#This Row],[AIR]],Errorlog_table[U_Hits],"Y",Errorlog_table[Year_Week_Number],"&gt;="&amp;$K$3,Errorlog_table[Year_Week_Number],"&lt;="&amp;$C$4,Errorlog_table[System],$K$1)</f>
        <v>0</v>
      </c>
      <c r="V18" s="2">
        <v>1</v>
      </c>
      <c r="W18" s="2" t="s">
        <v>581</v>
      </c>
      <c r="X18" s="123" t="str">
        <f>_xlfn.XLOOKUP(MTBF_pareto[[#This Row],[AIR]],AIR_dump[Number],AIR_dump[Amb Work notes],"not on amb list",0)</f>
        <v xml:space="preserve">2503.3 13:51:16 - Isaac Castanedo Guerra (Amb Work notes)
to deliver in wk6.4
2502.3 13:41:18 - Shravan Rajagopalan (Amb Work notes)
comeback with plan for 9k SP39
2452.2 15:22:15 - Shravan Rajagopalan (Amb Work notes)
wk50.3: Comenack on plan for 9k SP38 "
wk48.3: Comeback in wk50 for more details on opportunity of 9k for SP38 
wk46.3:  Solution to be delivered in SP40 for Unintended behavior during idle. POB team to check with CS CE on the 7+ hits seen in the field and explore opportunity to pull in 9k for SP38/SP39 
wk45.3: issue split into 3; 1-AIRmounts and AVIS;2-unintended behavior during idle;3- recover is not as it should be
wk44.3: 'False earthquake detection'. 2 different hits (1x vibration in airmount triggered AVIS to open loop, 1x hit when system idle will be targetted with this AIR wk45.3)
wk43.3: Second hit seen, data being collected via CS now. 
wk42.3 No follow-up done. Stuck at waiting for info. 
wk41.3 No follow-up done. Stuck at waiting for info
wk40.5 PCS of this issue fingerprint with AVIS in open loop point towards MAPA. contacted CS to help with definition of root cause
wk40.3 Root casue expected wk40.5 --&gt; Plan expected wk41.3
wk39.3 Short intake done (false earthquake detection triggered). Need follow-up plan
wk38.3 no intake done --&gt; Escalation Stephan will plan today / tomorrow with me and PCM
wk37.3: Intake this week
"New issue Wk 37: Problem stage open
</v>
      </c>
    </row>
    <row r="19" spans="1:24">
      <c r="A19" s="170" t="s">
        <v>994</v>
      </c>
      <c r="B19" s="170" t="str">
        <f>_xlfn.XLOOKUP(C19,Errorlog_table[AIR],Errorlog_table[Root_Error],"not found",0,-1)</f>
        <v>not found</v>
      </c>
      <c r="C19" s="3" t="s">
        <v>1012</v>
      </c>
      <c r="D19" s="3" t="str">
        <f>_xlfn.XLOOKUP(MTBF_pareto[[#This Row],[AIR]],AIR_dump[Number],AIR_dump[Project lead],"N/A",0)</f>
        <v>RBZB</v>
      </c>
      <c r="E19"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19"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19"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19" s="123" t="str">
        <f>_xlfn.XLOOKUP(C19,Errorlog_table[AIR],Errorlog_table[Description],"not found",0,-1)</f>
        <v>not found</v>
      </c>
      <c r="I19" s="123" t="s">
        <v>1013</v>
      </c>
      <c r="J19"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19"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19"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19"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19" s="2">
        <f>MTBF_pareto[[#This Row],[Main Customer]]+MTBF_pareto[[#This Row],[Other Customer1]]+MTBF_pareto[[#This Row],[Other Customer2]]</f>
        <v>0</v>
      </c>
      <c r="O19" s="2">
        <f>IF(MTBF_pareto[[#This Row],[Status]]="Solved",MTBF_pareto[[#This Row],[Downtime solved]],IF(MTBF_pareto[[#This Row],[Status]]="Open",MTBF_pareto[[#This Row],[Downtime open]],MTBF_pareto[[#This Row],[Downtime planned]]))</f>
        <v>0</v>
      </c>
      <c r="P19" s="123" t="str" cm="1">
        <f t="array" ref="P19">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19" s="131" t="str" cm="1">
        <f t="array" ref="Q19">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19" s="2">
        <f>COUNTIFS(Errorlog_table[AIR],MTBF_pareto[[#This Row],[AIR]],Errorlog_table[P_Hits],"Y",Errorlog_table[Year_Week_Number],"&gt;="&amp;$K$3,Errorlog_table[Year_Week_Number],"&lt;="&amp;$C$4)</f>
        <v>0</v>
      </c>
      <c r="S19" s="135">
        <f>COUNTIFS(Errorlog_table[AIR],MTBF_pareto[[#This Row],[AIR]],Errorlog_table[U_Hits],"Y",Errorlog_table[Year_Week_Number],"&gt;="&amp;$K$3,Errorlog_table[Year_Week_Number],"&lt;="&amp;$C$4)</f>
        <v>0</v>
      </c>
      <c r="T19" s="135">
        <f>COUNTIFS(Errorlog_table[AIR],MTBF_pareto[[#This Row],[AIR]],Errorlog_table[P_Hits],"Y",Errorlog_table[Year_Week_Number],"&gt;="&amp;$K$3,Errorlog_table[Year_Week_Number],"&lt;="&amp;$C$4,Errorlog_table[System],$K$1)</f>
        <v>0</v>
      </c>
      <c r="U19" s="135">
        <f>COUNTIFS(Errorlog_table[AIR],MTBF_pareto[[#This Row],[AIR]],Errorlog_table[U_Hits],"Y",Errorlog_table[Year_Week_Number],"&gt;="&amp;$K$3,Errorlog_table[Year_Week_Number],"&lt;="&amp;$C$4,Errorlog_table[System],$K$1)</f>
        <v>0</v>
      </c>
      <c r="V19" s="2">
        <v>1</v>
      </c>
      <c r="W19" s="2" t="s">
        <v>990</v>
      </c>
      <c r="X19" s="123" t="str">
        <f>_xlfn.XLOOKUP(MTBF_pareto[[#This Row],[AIR]],AIR_dump[Number],AIR_dump[Amb Work notes],"not on amb list",0)</f>
        <v xml:space="preserve">2502.3 14:04:31 - Shravan Rajagopalan (Amb Work notes)
PCS already available. Check needs to be done if Mk1 stock is in the field
2452.2 15:36:41 - Shravan Rajagopalan (Amb Work notes)
[intake 2437]
wk42.3.: Linked to leading P515487 
wk41.3: RPAS mk2 introduction planned. Test for wk47-51. Expected release next year. Containment: PCS improved, can't be improved in SW. Expecting a Start/Stop introduction.
Wk39.3: IBS team not involved and looking at in. RC clear. Plan for solution by end of this week
wk38.5 Escalated to PCM - he's now helping to get this asap
wk38.3: Solution from IBS team. Ramzi to support to bring this with high prio with PCM 
New issue Wk 37: Problem stage open
RH gets stuck, transfer issue to RH
</v>
      </c>
    </row>
    <row r="20" spans="1:24">
      <c r="A20" s="170" t="s">
        <v>994</v>
      </c>
      <c r="B20" s="170" t="str">
        <f>_xlfn.XLOOKUP(C20,Errorlog_table[AIR],Errorlog_table[Root_Error],"not found",0,-1)</f>
        <v>not found</v>
      </c>
      <c r="C20" s="3" t="s">
        <v>1014</v>
      </c>
      <c r="D20" s="3" t="str">
        <f>_xlfn.XLOOKUP(MTBF_pareto[[#This Row],[AIR]],AIR_dump[Number],AIR_dump[Project lead],"N/A",0)</f>
        <v>THID</v>
      </c>
      <c r="E20"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20"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20"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20" s="123" t="str">
        <f>_xlfn.XLOOKUP(C20,Errorlog_table[AIR],Errorlog_table[Description],"not found",0,-1)</f>
        <v>not found</v>
      </c>
      <c r="I20" s="123" t="s">
        <v>1015</v>
      </c>
      <c r="J20"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20"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20"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20"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20" s="2">
        <f>MTBF_pareto[[#This Row],[Main Customer]]+MTBF_pareto[[#This Row],[Other Customer1]]+MTBF_pareto[[#This Row],[Other Customer2]]</f>
        <v>0</v>
      </c>
      <c r="O20" s="2">
        <f>IF(MTBF_pareto[[#This Row],[Status]]="Solved",MTBF_pareto[[#This Row],[Downtime solved]],IF(MTBF_pareto[[#This Row],[Status]]="Open",MTBF_pareto[[#This Row],[Downtime open]],MTBF_pareto[[#This Row],[Downtime planned]]))</f>
        <v>0</v>
      </c>
      <c r="P20" s="123" t="str" cm="1">
        <f t="array" ref="P20">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20" s="131" t="str" cm="1">
        <f t="array" ref="Q20">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20" s="2">
        <f>COUNTIFS(Errorlog_table[AIR],MTBF_pareto[[#This Row],[AIR]],Errorlog_table[P_Hits],"Y",Errorlog_table[Year_Week_Number],"&gt;="&amp;$K$3,Errorlog_table[Year_Week_Number],"&lt;="&amp;$C$4)</f>
        <v>0</v>
      </c>
      <c r="S20" s="135">
        <f>COUNTIFS(Errorlog_table[AIR],MTBF_pareto[[#This Row],[AIR]],Errorlog_table[U_Hits],"Y",Errorlog_table[Year_Week_Number],"&gt;="&amp;$K$3,Errorlog_table[Year_Week_Number],"&lt;="&amp;$C$4)</f>
        <v>0</v>
      </c>
      <c r="T20" s="135">
        <f>COUNTIFS(Errorlog_table[AIR],MTBF_pareto[[#This Row],[AIR]],Errorlog_table[P_Hits],"Y",Errorlog_table[Year_Week_Number],"&gt;="&amp;$K$3,Errorlog_table[Year_Week_Number],"&lt;="&amp;$C$4,Errorlog_table[System],$K$1)</f>
        <v>0</v>
      </c>
      <c r="U20" s="135">
        <f>COUNTIFS(Errorlog_table[AIR],MTBF_pareto[[#This Row],[AIR]],Errorlog_table[U_Hits],"Y",Errorlog_table[Year_Week_Number],"&gt;="&amp;$K$3,Errorlog_table[Year_Week_Number],"&lt;="&amp;$C$4,Errorlog_table[System],$K$1)</f>
        <v>0</v>
      </c>
      <c r="V20" s="2">
        <v>2</v>
      </c>
      <c r="W20" s="2" t="s">
        <v>581</v>
      </c>
      <c r="X20" s="123" t="str">
        <f>_xlfn.XLOOKUP(MTBF_pareto[[#This Row],[AIR]],AIR_dump[Number],AIR_dump[Amb Work notes],"not on amb list",0)</f>
        <v xml:space="preserve">2452.2 15:43:11 - Shravan Rajagopalan (Amb Work notes)
[intake 2430] 
wk42.4: Coverage reduced to 0 since no hits in last 8 weeks
wk41.4: Issue is parent of P804052 which was initially in our ambition list
2442.4 10:07:25 - Shravan Rajagopalan (Amb Work notes)
Coverage reduced to 0 since no hits in the last 8 weeks.
</v>
      </c>
    </row>
    <row r="21" spans="1:24" hidden="1">
      <c r="A21" s="170" t="s">
        <v>988</v>
      </c>
      <c r="B21" s="170" t="str">
        <f>_xlfn.XLOOKUP(C21,Errorlog_table[AIR],Errorlog_table[Root_Error],"not found",0,-1)</f>
        <v>not found</v>
      </c>
      <c r="C21" s="3" t="s">
        <v>1016</v>
      </c>
      <c r="D21" s="3" t="str">
        <f>_xlfn.XLOOKUP(MTBF_pareto[[#This Row],[AIR]],AIR_dump[Number],AIR_dump[Project lead],"N/A",0)</f>
        <v>REMG</v>
      </c>
      <c r="E21"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21"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21"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21" s="123" t="str">
        <f>_xlfn.XLOOKUP(C21,Errorlog_table[AIR],Errorlog_table[Description],"not found",0,-1)</f>
        <v>not found</v>
      </c>
      <c r="I21" s="123" t="s">
        <v>1017</v>
      </c>
      <c r="J21"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21"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21"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21"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21" s="2">
        <f>MTBF_pareto[[#This Row],[Main Customer]]+MTBF_pareto[[#This Row],[Other Customer1]]+MTBF_pareto[[#This Row],[Other Customer2]]</f>
        <v>0</v>
      </c>
      <c r="O21" s="2">
        <f>IF(MTBF_pareto[[#This Row],[Status]]="Solved",MTBF_pareto[[#This Row],[Downtime solved]],IF(MTBF_pareto[[#This Row],[Status]]="Open",MTBF_pareto[[#This Row],[Downtime open]],MTBF_pareto[[#This Row],[Downtime planned]]))</f>
        <v>0</v>
      </c>
      <c r="P21" s="123" t="str" cm="1">
        <f t="array" ref="P21">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21" s="131" t="str" cm="1">
        <f t="array" ref="Q21">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21" s="2">
        <f>COUNTIFS(Errorlog_table[AIR],MTBF_pareto[[#This Row],[AIR]],Errorlog_table[P_Hits],"Y",Errorlog_table[Year_Week_Number],"&gt;="&amp;$K$3,Errorlog_table[Year_Week_Number],"&lt;="&amp;$C$4)</f>
        <v>0</v>
      </c>
      <c r="S21" s="2">
        <f>COUNTIFS(Errorlog_table[AIR],MTBF_pareto[[#This Row],[AIR]],Errorlog_table[U_Hits],"Y",Errorlog_table[Year_Week_Number],"&gt;="&amp;$K$3,Errorlog_table[Year_Week_Number],"&lt;="&amp;$C$4)</f>
        <v>0</v>
      </c>
      <c r="T21" s="2">
        <f>COUNTIFS(Errorlog_table[AIR],MTBF_pareto[[#This Row],[AIR]],Errorlog_table[P_Hits],"Y",Errorlog_table[Year_Week_Number],"&gt;="&amp;$K$3,Errorlog_table[Year_Week_Number],"&lt;="&amp;$C$4,Errorlog_table[System],$K$1)</f>
        <v>0</v>
      </c>
      <c r="U21" s="2">
        <f>COUNTIFS(Errorlog_table[AIR],MTBF_pareto[[#This Row],[AIR]],Errorlog_table[U_Hits],"Y",Errorlog_table[Year_Week_Number],"&gt;="&amp;$K$3,Errorlog_table[Year_Week_Number],"&lt;="&amp;$C$4,Errorlog_table[System],$K$1)</f>
        <v>0</v>
      </c>
      <c r="V21" s="2">
        <v>1</v>
      </c>
      <c r="W21" s="2" t="s">
        <v>581</v>
      </c>
      <c r="X21" s="123" t="str">
        <f>_xlfn.XLOOKUP(MTBF_pareto[[#This Row],[AIR]],AIR_dump[Number],AIR_dump[Amb Work notes],"not on amb list",0)</f>
        <v/>
      </c>
    </row>
    <row r="22" spans="1:24" hidden="1">
      <c r="A22" s="170" t="s">
        <v>991</v>
      </c>
      <c r="B22" s="170" t="str">
        <f>_xlfn.XLOOKUP(C22,Errorlog_table[AIR],Errorlog_table[Root_Error],"not found",0,-1)</f>
        <v>not found</v>
      </c>
      <c r="C22" s="3" t="s">
        <v>1018</v>
      </c>
      <c r="D22" s="3" t="str">
        <f>_xlfn.XLOOKUP(MTBF_pareto[[#This Row],[AIR]],AIR_dump[Number],AIR_dump[Project lead],"N/A",0)</f>
        <v>OBOI</v>
      </c>
      <c r="E22"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22"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22" s="2">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H22" s="123" t="str">
        <f>_xlfn.XLOOKUP(C22,Errorlog_table[AIR],Errorlog_table[Description],"not found",0,1)</f>
        <v>not found</v>
      </c>
      <c r="I22" s="123" t="s">
        <v>1019</v>
      </c>
      <c r="J22"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22"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22"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22"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22" s="2">
        <f>MTBF_pareto[[#This Row],[Main Customer]]+MTBF_pareto[[#This Row],[Other Customer1]]+MTBF_pareto[[#This Row],[Other Customer2]]</f>
        <v>0</v>
      </c>
      <c r="O22" s="2">
        <f>IF(MTBF_pareto[[#This Row],[Status]]="Solved",MTBF_pareto[[#This Row],[Downtime solved]],IF(MTBF_pareto[[#This Row],[Status]]="Open",MTBF_pareto[[#This Row],[Downtime open]],MTBF_pareto[[#This Row],[Downtime planned]]))</f>
        <v>0</v>
      </c>
      <c r="P22" s="123" t="str" cm="1">
        <f t="array" ref="P22">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22" s="131" t="str" cm="1">
        <f t="array" ref="Q22">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22" s="2">
        <f>COUNTIFS(Errorlog_table[AIR],MTBF_pareto[[#This Row],[AIR]],Errorlog_table[P_Hits],"Y",Errorlog_table[Year_Week_Number],"&gt;="&amp;$K$3,Errorlog_table[Year_Week_Number],"&lt;="&amp;$C$4)</f>
        <v>0</v>
      </c>
      <c r="S22" s="135">
        <f>COUNTIFS(Errorlog_table[AIR],MTBF_pareto[[#This Row],[AIR]],Errorlog_table[U_Hits],"Y",Errorlog_table[Year_Week_Number],"&gt;="&amp;$K$3,Errorlog_table[Year_Week_Number],"&lt;="&amp;$C$4)</f>
        <v>0</v>
      </c>
      <c r="T22" s="135">
        <f>COUNTIFS(Errorlog_table[AIR],MTBF_pareto[[#This Row],[AIR]],Errorlog_table[P_Hits],"Y",Errorlog_table[Year_Week_Number],"&gt;="&amp;$K$3,Errorlog_table[Year_Week_Number],"&lt;="&amp;$C$4,Errorlog_table[System],$K$1)</f>
        <v>0</v>
      </c>
      <c r="U22" s="135">
        <f>COUNTIFS(Errorlog_table[AIR],MTBF_pareto[[#This Row],[AIR]],Errorlog_table[U_Hits],"Y",Errorlog_table[Year_Week_Number],"&gt;="&amp;$K$3,Errorlog_table[Year_Week_Number],"&lt;="&amp;$C$4,Errorlog_table[System],$K$1)</f>
        <v>0</v>
      </c>
      <c r="V22" s="2">
        <v>1</v>
      </c>
      <c r="W22" s="2" t="s">
        <v>990</v>
      </c>
      <c r="X22" s="123" t="str">
        <f>_xlfn.XLOOKUP(MTBF_pareto[[#This Row],[AIR]],AIR_dump[Number],AIR_dump[Amb Work notes],"not on amb list",0)</f>
        <v xml:space="preserve">2503.3 13:45:28 - Isaac Castanedo Guerra (Amb Work notes)
FCO to be added in AIR.
2502.3 13:32:47 - Shravan Rajagopalan (Amb Work notes)
Hw also tested OK. Check on FCO number
2452.2 15:18:36 - Shravan Rajagopalan (Amb Work notes)
wk50.3: Still on track 
wk48.2: We messed up, this is a HW delivery. HW coming in wk2503
wk48.3: Solution to be considered as delivered only when Hw is available
wk45.3: 5k is delivered tomorrow wk45.4
wk44.3 QBL Delivery done. On track for SP38 9k wk45.4
wk43.3: QBL delivery on track. 9k on SP37 not needed and only 9k on SP38 for wk45.4
wk43.2 SP37 9k not needed, SP38 9k planned wk46 
wk42.3 Test OK. QBL delivery wk43. wk48 for SP37 9k... Mustafa + Rene to discuss today. Feedback wk42.4
wk41.3 Testtime beeing delayed on Pr23. SP38 9k + QBL = wk43, 9k for SP37 is wk48. SWI to check if 9k creation can be supported + DTOM to check testtime
wk40.3 Testing in wk41, delivery in wk43. Communicated as best plan - no help requests
wk39.3 Keep alive functionality ready for testing wk41. Weekend run wk41. Aim to release to customer with batch5a wk42.3 (needs 9k on SP37)
[AALX wk2440.5] Request solution in Batch 5 (AIR in weekly carousel already).
wk38.3 Delay on KeepAlive functionality. Additional hit found in CPD's. Expected solution wk45
"New in Carousel Wk38: Need update
</v>
      </c>
    </row>
    <row r="23" spans="1:24">
      <c r="A23" s="170" t="s">
        <v>994</v>
      </c>
      <c r="B23" s="170" t="str">
        <f>_xlfn.XLOOKUP(C23,Errorlog_table[AIR],Errorlog_table[Root_Error],"not found",0,-1)</f>
        <v>not found</v>
      </c>
      <c r="C23" s="3" t="s">
        <v>1020</v>
      </c>
      <c r="D23" s="3" t="str">
        <f>_xlfn.XLOOKUP(MTBF_pareto[[#This Row],[AIR]],AIR_dump[Number],AIR_dump[Project lead],"N/A",0)</f>
        <v>STAT</v>
      </c>
      <c r="E23"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23"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23"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23" s="123" t="str">
        <f>_xlfn.XLOOKUP(C23,Errorlog_table[AIR],Errorlog_table[Description],"not found",0,-1)</f>
        <v>not found</v>
      </c>
      <c r="I23" s="123" t="s">
        <v>1021</v>
      </c>
      <c r="J23"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23"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23"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23"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23" s="2">
        <f>MTBF_pareto[[#This Row],[Main Customer]]+MTBF_pareto[[#This Row],[Other Customer1]]+MTBF_pareto[[#This Row],[Other Customer2]]</f>
        <v>0</v>
      </c>
      <c r="O23" s="2">
        <f>IF(MTBF_pareto[[#This Row],[Status]]="Solved",MTBF_pareto[[#This Row],[Downtime solved]],IF(MTBF_pareto[[#This Row],[Status]]="Open",MTBF_pareto[[#This Row],[Downtime open]],MTBF_pareto[[#This Row],[Downtime planned]]))</f>
        <v>0</v>
      </c>
      <c r="P23" s="123" t="str" cm="1">
        <f t="array" ref="P23">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23" s="131" t="str" cm="1">
        <f t="array" ref="Q23">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23" s="2">
        <f>COUNTIFS(Errorlog_table[AIR],MTBF_pareto[[#This Row],[AIR]],Errorlog_table[P_Hits],"Y",Errorlog_table[Year_Week_Number],"&gt;="&amp;$K$3,Errorlog_table[Year_Week_Number],"&lt;="&amp;$C$4)</f>
        <v>0</v>
      </c>
      <c r="S23" s="135">
        <f>COUNTIFS(Errorlog_table[AIR],MTBF_pareto[[#This Row],[AIR]],Errorlog_table[U_Hits],"Y",Errorlog_table[Year_Week_Number],"&gt;="&amp;$K$3,Errorlog_table[Year_Week_Number],"&lt;="&amp;$C$4)</f>
        <v>0</v>
      </c>
      <c r="T23" s="135">
        <f>COUNTIFS(Errorlog_table[AIR],MTBF_pareto[[#This Row],[AIR]],Errorlog_table[P_Hits],"Y",Errorlog_table[Year_Week_Number],"&gt;="&amp;$K$3,Errorlog_table[Year_Week_Number],"&lt;="&amp;$C$4,Errorlog_table[System],$K$1)</f>
        <v>0</v>
      </c>
      <c r="U23" s="135">
        <f>COUNTIFS(Errorlog_table[AIR],MTBF_pareto[[#This Row],[AIR]],Errorlog_table[U_Hits],"Y",Errorlog_table[Year_Week_Number],"&gt;="&amp;$K$3,Errorlog_table[Year_Week_Number],"&lt;="&amp;$C$4,Errorlog_table[System],$K$1)</f>
        <v>0</v>
      </c>
      <c r="V23" s="2">
        <v>2</v>
      </c>
      <c r="W23" s="2" t="s">
        <v>581</v>
      </c>
      <c r="X23" s="123" t="str">
        <f>_xlfn.XLOOKUP(MTBF_pareto[[#This Row],[AIR]],AIR_dump[Number],AIR_dump[Amb Work notes],"not on amb list",0)</f>
        <v xml:space="preserve">2502.3 13:17:24 - Shravan Rajagopalan (Amb Work notes)
Monitor for 2 weeks. Issue still blocked by empty stacktraces
2501.4 08:54:48 - Shravan Rajagopalan (Amb Work notes)
stacktraces empty. Need P840410 to continue investigation
</v>
      </c>
    </row>
    <row r="24" spans="1:24">
      <c r="A24" s="170" t="s">
        <v>994</v>
      </c>
      <c r="B24" s="170" t="str">
        <f>_xlfn.XLOOKUP(C24,Errorlog_table[AIR],Errorlog_table[Root_Error],"not found",0,-1)</f>
        <v>not found</v>
      </c>
      <c r="C24" s="3" t="s">
        <v>1022</v>
      </c>
      <c r="D24" s="3" t="str">
        <f>_xlfn.XLOOKUP(MTBF_pareto[[#This Row],[AIR]],AIR_dump[Number],AIR_dump[Project lead],"N/A",0)</f>
        <v>N/A</v>
      </c>
      <c r="E24"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24"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24"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24" s="123" t="str">
        <f>_xlfn.XLOOKUP(C24,Errorlog_table[AIR],Errorlog_table[Description],"not found",0,-1)</f>
        <v>not found</v>
      </c>
      <c r="I24" s="123" t="s">
        <v>1023</v>
      </c>
      <c r="J24"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24"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24"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24"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24" s="2">
        <f>MTBF_pareto[[#This Row],[Main Customer]]+MTBF_pareto[[#This Row],[Other Customer1]]+MTBF_pareto[[#This Row],[Other Customer2]]</f>
        <v>0</v>
      </c>
      <c r="O24" s="2">
        <f>IF(MTBF_pareto[[#This Row],[Status]]="Solved",MTBF_pareto[[#This Row],[Downtime solved]],IF(MTBF_pareto[[#This Row],[Status]]="Open",MTBF_pareto[[#This Row],[Downtime open]],MTBF_pareto[[#This Row],[Downtime planned]]))</f>
        <v>0</v>
      </c>
      <c r="P24" s="123" t="str" cm="1">
        <f t="array" ref="P24">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24" s="131" t="str" cm="1">
        <f t="array" ref="Q24">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24" s="2">
        <f>COUNTIFS(Errorlog_table[AIR],MTBF_pareto[[#This Row],[AIR]],Errorlog_table[P_Hits],"Y",Errorlog_table[Year_Week_Number],"&gt;="&amp;$K$3,Errorlog_table[Year_Week_Number],"&lt;="&amp;$C$4)</f>
        <v>0</v>
      </c>
      <c r="S24" s="135">
        <f>COUNTIFS(Errorlog_table[AIR],MTBF_pareto[[#This Row],[AIR]],Errorlog_table[U_Hits],"Y",Errorlog_table[Year_Week_Number],"&gt;="&amp;$K$3,Errorlog_table[Year_Week_Number],"&lt;="&amp;$C$4)</f>
        <v>0</v>
      </c>
      <c r="T24" s="135">
        <f>COUNTIFS(Errorlog_table[AIR],MTBF_pareto[[#This Row],[AIR]],Errorlog_table[P_Hits],"Y",Errorlog_table[Year_Week_Number],"&gt;="&amp;$K$3,Errorlog_table[Year_Week_Number],"&lt;="&amp;$C$4,Errorlog_table[System],$K$1)</f>
        <v>0</v>
      </c>
      <c r="U24" s="135">
        <f>COUNTIFS(Errorlog_table[AIR],MTBF_pareto[[#This Row],[AIR]],Errorlog_table[U_Hits],"Y",Errorlog_table[Year_Week_Number],"&gt;="&amp;$K$3,Errorlog_table[Year_Week_Number],"&lt;="&amp;$C$4,Errorlog_table[System],$K$1)</f>
        <v>0</v>
      </c>
      <c r="V24" s="2">
        <v>2</v>
      </c>
      <c r="W24" s="2" t="s">
        <v>581</v>
      </c>
      <c r="X24" s="123" t="str">
        <f>_xlfn.XLOOKUP(MTBF_pareto[[#This Row],[AIR]],AIR_dump[Number],AIR_dump[Amb Work notes],"not on amb list",0)</f>
        <v>not on amb list</v>
      </c>
    </row>
    <row r="25" spans="1:24">
      <c r="A25" s="170" t="s">
        <v>994</v>
      </c>
      <c r="B25" s="170" t="str">
        <f>_xlfn.XLOOKUP(C25,Errorlog_table[AIR],Errorlog_table[Root_Error],"not found",0,-1)</f>
        <v>not found</v>
      </c>
      <c r="C25" s="3" t="s">
        <v>1024</v>
      </c>
      <c r="D25" s="3" t="str">
        <f>_xlfn.XLOOKUP(MTBF_pareto[[#This Row],[AIR]],AIR_dump[Number],AIR_dump[Project lead],"N/A",0)</f>
        <v>NDRI</v>
      </c>
      <c r="E25"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25"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25"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25" s="123" t="str">
        <f>_xlfn.XLOOKUP(C25,Errorlog_table[AIR],Errorlog_table[Description],"not found",0,-1)</f>
        <v>not found</v>
      </c>
      <c r="I25" s="123" t="s">
        <v>1025</v>
      </c>
      <c r="J25"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25"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25"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25"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25" s="2">
        <f>MTBF_pareto[[#This Row],[Main Customer]]+MTBF_pareto[[#This Row],[Other Customer1]]+MTBF_pareto[[#This Row],[Other Customer2]]</f>
        <v>0</v>
      </c>
      <c r="O25" s="2">
        <f>IF(MTBF_pareto[[#This Row],[Status]]="Solved",MTBF_pareto[[#This Row],[Downtime solved]],IF(MTBF_pareto[[#This Row],[Status]]="Open",MTBF_pareto[[#This Row],[Downtime open]],MTBF_pareto[[#This Row],[Downtime planned]]))</f>
        <v>0</v>
      </c>
      <c r="P25" s="123" t="str" cm="1">
        <f t="array" ref="P25">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25" s="131" t="str" cm="1">
        <f t="array" ref="Q25">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25" s="2">
        <f>COUNTIFS(Errorlog_table[AIR],MTBF_pareto[[#This Row],[AIR]],Errorlog_table[P_Hits],"Y",Errorlog_table[Year_Week_Number],"&gt;="&amp;$K$3,Errorlog_table[Year_Week_Number],"&lt;="&amp;$C$4)</f>
        <v>0</v>
      </c>
      <c r="S25" s="135">
        <f>COUNTIFS(Errorlog_table[AIR],MTBF_pareto[[#This Row],[AIR]],Errorlog_table[U_Hits],"Y",Errorlog_table[Year_Week_Number],"&gt;="&amp;$K$3,Errorlog_table[Year_Week_Number],"&lt;="&amp;$C$4)</f>
        <v>0</v>
      </c>
      <c r="T25" s="135">
        <f>COUNTIFS(Errorlog_table[AIR],MTBF_pareto[[#This Row],[AIR]],Errorlog_table[P_Hits],"Y",Errorlog_table[Year_Week_Number],"&gt;="&amp;$K$3,Errorlog_table[Year_Week_Number],"&lt;="&amp;$C$4,Errorlog_table[System],$K$1)</f>
        <v>0</v>
      </c>
      <c r="U25" s="135">
        <f>COUNTIFS(Errorlog_table[AIR],MTBF_pareto[[#This Row],[AIR]],Errorlog_table[U_Hits],"Y",Errorlog_table[Year_Week_Number],"&gt;="&amp;$K$3,Errorlog_table[Year_Week_Number],"&lt;="&amp;$C$4,Errorlog_table[System],$K$1)</f>
        <v>0</v>
      </c>
      <c r="V25" s="2">
        <v>1</v>
      </c>
      <c r="W25" s="2" t="s">
        <v>581</v>
      </c>
      <c r="X25" s="123" t="str">
        <f>_xlfn.XLOOKUP(MTBF_pareto[[#This Row],[AIR]],AIR_dump[Number],AIR_dump[Amb Work notes],"not on amb list",0)</f>
        <v xml:space="preserve">2452.2 14:36:29 - Shravan Rajagopalan (Amb Work notes)
wk50.2: New issue
</v>
      </c>
    </row>
    <row r="26" spans="1:24">
      <c r="A26" s="170" t="s">
        <v>994</v>
      </c>
      <c r="B26" s="170" t="str">
        <f>_xlfn.XLOOKUP(C26,Errorlog_table[AIR],Errorlog_table[Root_Error],"not found",0,-1)</f>
        <v>not found</v>
      </c>
      <c r="C26" s="3" t="s">
        <v>1026</v>
      </c>
      <c r="D26" s="3" t="str">
        <f>_xlfn.XLOOKUP(MTBF_pareto[[#This Row],[AIR]],AIR_dump[Number],AIR_dump[Project lead],"N/A",0)</f>
        <v>THID</v>
      </c>
      <c r="E26"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26"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26"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26" s="123" t="str">
        <f>_xlfn.XLOOKUP(C26,Errorlog_table[AIR],Errorlog_table[Description],"not found",0,-1)</f>
        <v>not found</v>
      </c>
      <c r="I26" s="123" t="s">
        <v>1027</v>
      </c>
      <c r="J26"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26"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26"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26"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26" s="2">
        <f>MTBF_pareto[[#This Row],[Main Customer]]+MTBF_pareto[[#This Row],[Other Customer1]]+MTBF_pareto[[#This Row],[Other Customer2]]</f>
        <v>0</v>
      </c>
      <c r="O26" s="2">
        <f>IF(MTBF_pareto[[#This Row],[Status]]="Solved",MTBF_pareto[[#This Row],[Downtime solved]],IF(MTBF_pareto[[#This Row],[Status]]="Open",MTBF_pareto[[#This Row],[Downtime open]],MTBF_pareto[[#This Row],[Downtime planned]]))</f>
        <v>0</v>
      </c>
      <c r="P26" s="123" t="str" cm="1">
        <f t="array" ref="P26">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26" s="131" t="str" cm="1">
        <f t="array" ref="Q26">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26" s="2">
        <f>COUNTIFS(Errorlog_table[AIR],MTBF_pareto[[#This Row],[AIR]],Errorlog_table[P_Hits],"Y",Errorlog_table[Year_Week_Number],"&gt;="&amp;$K$3,Errorlog_table[Year_Week_Number],"&lt;="&amp;$C$4)</f>
        <v>0</v>
      </c>
      <c r="S26" s="135">
        <f>COUNTIFS(Errorlog_table[AIR],MTBF_pareto[[#This Row],[AIR]],Errorlog_table[U_Hits],"Y",Errorlog_table[Year_Week_Number],"&gt;="&amp;$K$3,Errorlog_table[Year_Week_Number],"&lt;="&amp;$C$4)</f>
        <v>0</v>
      </c>
      <c r="T26" s="135">
        <f>COUNTIFS(Errorlog_table[AIR],MTBF_pareto[[#This Row],[AIR]],Errorlog_table[P_Hits],"Y",Errorlog_table[Year_Week_Number],"&gt;="&amp;$K$3,Errorlog_table[Year_Week_Number],"&lt;="&amp;$C$4,Errorlog_table[System],$K$1)</f>
        <v>0</v>
      </c>
      <c r="U26" s="135">
        <f>COUNTIFS(Errorlog_table[AIR],MTBF_pareto[[#This Row],[AIR]],Errorlog_table[U_Hits],"Y",Errorlog_table[Year_Week_Number],"&gt;="&amp;$K$3,Errorlog_table[Year_Week_Number],"&lt;="&amp;$C$4,Errorlog_table[System],$K$1)</f>
        <v>0</v>
      </c>
      <c r="V26" s="2">
        <v>1</v>
      </c>
      <c r="W26" s="2" t="s">
        <v>581</v>
      </c>
      <c r="X26" s="123" t="str">
        <f>_xlfn.XLOOKUP(MTBF_pareto[[#This Row],[AIR]],AIR_dump[Number],AIR_dump[Amb Work notes],"not on amb list",0)</f>
        <v xml:space="preserve">2502.5 12:41:34 - Shravan Rajagopalan (Amb Work notes)
recent hit seen at TSMC
2452.2 15:40:46 - Shravan Rajagopalan (Amb Work notes)
[Intake 2421]
wk48.5: Linked to driver functionality which needs larger work to be done. Needs a plan update
wk47.3: unlikely to make wk50
wk33.5:
Umbrella AIR P7849549 (Replaced in reliab ambition list with AIRs listed below:
P805784 --&gt; Unclear single hitter (low prio for now)
P809528 --&gt; High hitter and RC still unclear. Solution to be defined end of wk35. Solution to come along with Chuck dedication in wk38 (Batch 3c)
P809529 --&gt; Solution in QBL wk39 [Batch 4]
</v>
      </c>
    </row>
    <row r="27" spans="1:24">
      <c r="A27" s="170" t="s">
        <v>994</v>
      </c>
      <c r="B27" s="170" t="str">
        <f>_xlfn.XLOOKUP(C27,Errorlog_table[AIR],Errorlog_table[Root_Error],"not found",0,-1)</f>
        <v>not found</v>
      </c>
      <c r="C27" s="3" t="s">
        <v>1028</v>
      </c>
      <c r="D27" s="3" t="str">
        <f>_xlfn.XLOOKUP(MTBF_pareto[[#This Row],[AIR]],AIR_dump[Number],AIR_dump[Project lead],"N/A",0)</f>
        <v>THID</v>
      </c>
      <c r="E27"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27"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27"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27" s="123" t="str">
        <f>_xlfn.XLOOKUP(C27,Errorlog_table[AIR],Errorlog_table[Description],"not found",0,-1)</f>
        <v>not found</v>
      </c>
      <c r="I27" s="123" t="s">
        <v>1013</v>
      </c>
      <c r="J27"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27"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27"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27"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27" s="2">
        <f>MTBF_pareto[[#This Row],[Main Customer]]+MTBF_pareto[[#This Row],[Other Customer1]]+MTBF_pareto[[#This Row],[Other Customer2]]</f>
        <v>0</v>
      </c>
      <c r="O27" s="2">
        <f>IF(MTBF_pareto[[#This Row],[Status]]="Solved",MTBF_pareto[[#This Row],[Downtime solved]],IF(MTBF_pareto[[#This Row],[Status]]="Open",MTBF_pareto[[#This Row],[Downtime open]],MTBF_pareto[[#This Row],[Downtime planned]]))</f>
        <v>0</v>
      </c>
      <c r="P27" s="123" t="str" cm="1">
        <f t="array" ref="P27">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27" s="131" t="str" cm="1">
        <f t="array" ref="Q27">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27" s="2">
        <f>COUNTIFS(Errorlog_table[AIR],MTBF_pareto[[#This Row],[AIR]],Errorlog_table[P_Hits],"Y",Errorlog_table[Year_Week_Number],"&gt;="&amp;$K$3,Errorlog_table[Year_Week_Number],"&lt;="&amp;$C$4)</f>
        <v>0</v>
      </c>
      <c r="S27" s="135">
        <f>COUNTIFS(Errorlog_table[AIR],MTBF_pareto[[#This Row],[AIR]],Errorlog_table[U_Hits],"Y",Errorlog_table[Year_Week_Number],"&gt;="&amp;$K$3,Errorlog_table[Year_Week_Number],"&lt;="&amp;$C$4)</f>
        <v>0</v>
      </c>
      <c r="T27" s="135">
        <f>COUNTIFS(Errorlog_table[AIR],MTBF_pareto[[#This Row],[AIR]],Errorlog_table[P_Hits],"Y",Errorlog_table[Year_Week_Number],"&gt;="&amp;$K$3,Errorlog_table[Year_Week_Number],"&lt;="&amp;$C$4,Errorlog_table[System],$K$1)</f>
        <v>0</v>
      </c>
      <c r="U27" s="135">
        <f>COUNTIFS(Errorlog_table[AIR],MTBF_pareto[[#This Row],[AIR]],Errorlog_table[U_Hits],"Y",Errorlog_table[Year_Week_Number],"&gt;="&amp;$K$3,Errorlog_table[Year_Week_Number],"&lt;="&amp;$C$4,Errorlog_table[System],$K$1)</f>
        <v>0</v>
      </c>
      <c r="V27" s="2">
        <v>2</v>
      </c>
      <c r="W27" s="2" t="s">
        <v>581</v>
      </c>
      <c r="X27" s="123" t="str">
        <f>_xlfn.XLOOKUP(MTBF_pareto[[#This Row],[AIR]],AIR_dump[Number],AIR_dump[Amb Work notes],"not on amb list",0)</f>
        <v xml:space="preserve">2452.2 15:41:43 - Shravan Rajagopalan (Amb Work notes)
[intake 2447]
wk49.2: Request towards D&amp;E to add more details. Comeback on Friday 
wk48.5: Data still being investigated
</v>
      </c>
    </row>
    <row r="28" spans="1:24" hidden="1">
      <c r="A28" s="170" t="s">
        <v>991</v>
      </c>
      <c r="B28" s="170" t="str">
        <f>_xlfn.XLOOKUP(C28,Errorlog_table[AIR],Errorlog_table[Root_Error],"not found",0,-1)</f>
        <v>not found</v>
      </c>
      <c r="C28" s="3" t="s">
        <v>1029</v>
      </c>
      <c r="D28" s="3" t="str">
        <f>_xlfn.XLOOKUP(MTBF_pareto[[#This Row],[AIR]],AIR_dump[Number],AIR_dump[Project lead],"N/A",0)</f>
        <v>HPOU</v>
      </c>
      <c r="E28"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28"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28" s="2">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H28" s="123" t="str">
        <f>_xlfn.XLOOKUP(C28,Errorlog_table[AIR],Errorlog_table[Description],"not found",0,-1)</f>
        <v>not found</v>
      </c>
      <c r="I28" s="123" t="s">
        <v>1030</v>
      </c>
      <c r="J28"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28"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28"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28"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28" s="2">
        <f>MTBF_pareto[[#This Row],[Main Customer]]+MTBF_pareto[[#This Row],[Other Customer1]]+MTBF_pareto[[#This Row],[Other Customer2]]</f>
        <v>0</v>
      </c>
      <c r="O28" s="2">
        <f>IF(MTBF_pareto[[#This Row],[Status]]="Solved",MTBF_pareto[[#This Row],[Downtime solved]],IF(MTBF_pareto[[#This Row],[Status]]="Open",MTBF_pareto[[#This Row],[Downtime open]],MTBF_pareto[[#This Row],[Downtime planned]]))</f>
        <v>0</v>
      </c>
      <c r="P28" s="123" t="str" cm="1">
        <f t="array" ref="P28">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28" s="131" t="str" cm="1">
        <f t="array" ref="Q28">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28" s="2">
        <f>COUNTIFS(Errorlog_table[AIR],MTBF_pareto[[#This Row],[AIR]],Errorlog_table[P_Hits],"Y",Errorlog_table[Year_Week_Number],"&gt;="&amp;$K$3,Errorlog_table[Year_Week_Number],"&lt;="&amp;$C$4)</f>
        <v>0</v>
      </c>
      <c r="S28" s="135">
        <f>COUNTIFS(Errorlog_table[AIR],MTBF_pareto[[#This Row],[AIR]],Errorlog_table[U_Hits],"Y",Errorlog_table[Year_Week_Number],"&gt;="&amp;$K$3,Errorlog_table[Year_Week_Number],"&lt;="&amp;$C$4)</f>
        <v>0</v>
      </c>
      <c r="T28" s="135">
        <f>COUNTIFS(Errorlog_table[AIR],MTBF_pareto[[#This Row],[AIR]],Errorlog_table[P_Hits],"Y",Errorlog_table[Year_Week_Number],"&gt;="&amp;$K$3,Errorlog_table[Year_Week_Number],"&lt;="&amp;$C$4,Errorlog_table[System],$K$1)</f>
        <v>0</v>
      </c>
      <c r="U28" s="135">
        <f>COUNTIFS(Errorlog_table[AIR],MTBF_pareto[[#This Row],[AIR]],Errorlog_table[U_Hits],"Y",Errorlog_table[Year_Week_Number],"&gt;="&amp;$K$3,Errorlog_table[Year_Week_Number],"&lt;="&amp;$C$4,Errorlog_table[System],$K$1)</f>
        <v>0</v>
      </c>
      <c r="V28" s="2">
        <v>2</v>
      </c>
      <c r="W28" s="2" t="s">
        <v>990</v>
      </c>
      <c r="X28" s="123" t="str">
        <f>_xlfn.XLOOKUP(MTBF_pareto[[#This Row],[AIR]],AIR_dump[Number],AIR_dump[Amb Work notes],"not on amb list",0)</f>
        <v xml:space="preserve">2452.2 14:47:18 - Shravan Rajagopalan (Amb Work notes)
Wk51: Solution planned for 2525
</v>
      </c>
    </row>
    <row r="29" spans="1:24">
      <c r="A29" s="170" t="s">
        <v>994</v>
      </c>
      <c r="B29" s="170" t="str">
        <f>_xlfn.XLOOKUP(C29,Errorlog_table[AIR],Errorlog_table[Root_Error],"not found",0,-1)</f>
        <v>not found</v>
      </c>
      <c r="C29" s="3" t="s">
        <v>1031</v>
      </c>
      <c r="D29" s="3" t="str">
        <f>_xlfn.XLOOKUP(MTBF_pareto[[#This Row],[AIR]],AIR_dump[Number],AIR_dump[Project lead],"N/A",0)</f>
        <v>N/A</v>
      </c>
      <c r="E29"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29"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29"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29" s="123" t="str">
        <f>_xlfn.XLOOKUP(C29,Errorlog_table[AIR],Errorlog_table[Description],"not found",0,-1)</f>
        <v>not found</v>
      </c>
      <c r="I29" s="123" t="s">
        <v>1023</v>
      </c>
      <c r="J29"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29"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29"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29"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29" s="2">
        <f>MTBF_pareto[[#This Row],[Main Customer]]+MTBF_pareto[[#This Row],[Other Customer1]]+MTBF_pareto[[#This Row],[Other Customer2]]</f>
        <v>0</v>
      </c>
      <c r="O29" s="2">
        <f>IF(MTBF_pareto[[#This Row],[Status]]="Solved",MTBF_pareto[[#This Row],[Downtime solved]],IF(MTBF_pareto[[#This Row],[Status]]="Open",MTBF_pareto[[#This Row],[Downtime open]],MTBF_pareto[[#This Row],[Downtime planned]]))</f>
        <v>0</v>
      </c>
      <c r="P29" s="123" t="str" cm="1">
        <f t="array" ref="P29">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29" s="131" t="str" cm="1">
        <f t="array" ref="Q29">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29" s="2">
        <f>COUNTIFS(Errorlog_table[AIR],MTBF_pareto[[#This Row],[AIR]],Errorlog_table[P_Hits],"Y",Errorlog_table[Year_Week_Number],"&gt;="&amp;$K$3,Errorlog_table[Year_Week_Number],"&lt;="&amp;$C$4)</f>
        <v>0</v>
      </c>
      <c r="S29" s="135">
        <f>COUNTIFS(Errorlog_table[AIR],MTBF_pareto[[#This Row],[AIR]],Errorlog_table[U_Hits],"Y",Errorlog_table[Year_Week_Number],"&gt;="&amp;$K$3,Errorlog_table[Year_Week_Number],"&lt;="&amp;$C$4)</f>
        <v>0</v>
      </c>
      <c r="T29" s="135">
        <f>COUNTIFS(Errorlog_table[AIR],MTBF_pareto[[#This Row],[AIR]],Errorlog_table[P_Hits],"Y",Errorlog_table[Year_Week_Number],"&gt;="&amp;$K$3,Errorlog_table[Year_Week_Number],"&lt;="&amp;$C$4,Errorlog_table[System],$K$1)</f>
        <v>0</v>
      </c>
      <c r="U29" s="135">
        <f>COUNTIFS(Errorlog_table[AIR],MTBF_pareto[[#This Row],[AIR]],Errorlog_table[U_Hits],"Y",Errorlog_table[Year_Week_Number],"&gt;="&amp;$K$3,Errorlog_table[Year_Week_Number],"&lt;="&amp;$C$4,Errorlog_table[System],$K$1)</f>
        <v>0</v>
      </c>
      <c r="V29" s="2">
        <v>2</v>
      </c>
      <c r="W29" s="2" t="s">
        <v>581</v>
      </c>
      <c r="X29" s="123" t="str">
        <f>_xlfn.XLOOKUP(MTBF_pareto[[#This Row],[AIR]],AIR_dump[Number],AIR_dump[Amb Work notes],"not on amb list",0)</f>
        <v>not on amb list</v>
      </c>
    </row>
    <row r="30" spans="1:24" hidden="1">
      <c r="A30" s="170" t="s">
        <v>991</v>
      </c>
      <c r="B30" s="170" t="str">
        <f>_xlfn.XLOOKUP(C30,Errorlog_table[AIR],Errorlog_table[Root_Error],"not found",0,-1)</f>
        <v>not found</v>
      </c>
      <c r="C30" s="3" t="s">
        <v>1032</v>
      </c>
      <c r="D30" s="3" t="str">
        <f>_xlfn.XLOOKUP(MTBF_pareto[[#This Row],[AIR]],AIR_dump[Number],AIR_dump[Project lead],"N/A",0)</f>
        <v>JQVV</v>
      </c>
      <c r="E30"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30"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30" s="2">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H30" s="123" t="str">
        <f>_xlfn.XLOOKUP(C30,Errorlog_table[AIR],Errorlog_table[Description],"not found",0,-1)</f>
        <v>not found</v>
      </c>
      <c r="I30" s="123" t="s">
        <v>1033</v>
      </c>
      <c r="J30"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30"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30"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30"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30" s="2">
        <f>MTBF_pareto[[#This Row],[Main Customer]]+MTBF_pareto[[#This Row],[Other Customer1]]+MTBF_pareto[[#This Row],[Other Customer2]]</f>
        <v>0</v>
      </c>
      <c r="O30" s="2">
        <f>IF(MTBF_pareto[[#This Row],[Status]]="Solved",MTBF_pareto[[#This Row],[Downtime solved]],IF(MTBF_pareto[[#This Row],[Status]]="Open",MTBF_pareto[[#This Row],[Downtime open]],MTBF_pareto[[#This Row],[Downtime planned]]))</f>
        <v>0</v>
      </c>
      <c r="P30" s="123" t="str" cm="1">
        <f t="array" ref="P30">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30" s="131" t="str" cm="1">
        <f t="array" ref="Q30">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30" s="2">
        <f>COUNTIFS(Errorlog_table[AIR],MTBF_pareto[[#This Row],[AIR]],Errorlog_table[P_Hits],"Y",Errorlog_table[Year_Week_Number],"&gt;="&amp;$K$3,Errorlog_table[Year_Week_Number],"&lt;="&amp;$C$4)</f>
        <v>0</v>
      </c>
      <c r="S30" s="135">
        <f>COUNTIFS(Errorlog_table[AIR],MTBF_pareto[[#This Row],[AIR]],Errorlog_table[U_Hits],"Y",Errorlog_table[Year_Week_Number],"&gt;="&amp;$K$3,Errorlog_table[Year_Week_Number],"&lt;="&amp;$C$4)</f>
        <v>0</v>
      </c>
      <c r="T30" s="135">
        <f>COUNTIFS(Errorlog_table[AIR],MTBF_pareto[[#This Row],[AIR]],Errorlog_table[P_Hits],"Y",Errorlog_table[Year_Week_Number],"&gt;="&amp;$K$3,Errorlog_table[Year_Week_Number],"&lt;="&amp;$C$4,Errorlog_table[System],$K$1)</f>
        <v>0</v>
      </c>
      <c r="U30" s="135">
        <f>COUNTIFS(Errorlog_table[AIR],MTBF_pareto[[#This Row],[AIR]],Errorlog_table[U_Hits],"Y",Errorlog_table[Year_Week_Number],"&gt;="&amp;$K$3,Errorlog_table[Year_Week_Number],"&lt;="&amp;$C$4,Errorlog_table[System],$K$1)</f>
        <v>0</v>
      </c>
      <c r="V30" s="2">
        <v>2</v>
      </c>
      <c r="W30" s="2" t="s">
        <v>990</v>
      </c>
      <c r="X30" s="123" t="str">
        <f>_xlfn.XLOOKUP(MTBF_pareto[[#This Row],[AIR]],AIR_dump[Number],AIR_dump[Amb Work notes],"not on amb list",0)</f>
        <v xml:space="preserve">2442.3 16:35:35 - Shravan Rajagopalan (Amb Work notes)
Issue occurred once in field 52891345
Total DT = 30hrs 
Structural solution to solve 10hrs (remaining 20hrs to be solved via DDF implementation via P808198)
Total Av improvement = 10hrs * 1/yr = 10hrs/sys/yr
</v>
      </c>
    </row>
    <row r="31" spans="1:24" hidden="1">
      <c r="A31" s="170" t="s">
        <v>988</v>
      </c>
      <c r="B31" s="170" t="str">
        <f>_xlfn.XLOOKUP(C31,Errorlog_table[AIR],Errorlog_table[Root_Error],"not found",0,-1)</f>
        <v>not found</v>
      </c>
      <c r="C31" s="3" t="s">
        <v>1034</v>
      </c>
      <c r="D31" s="3" t="str">
        <f>_xlfn.XLOOKUP(MTBF_pareto[[#This Row],[AIR]],AIR_dump[Number],AIR_dump[Project lead],"N/A",0)</f>
        <v>HOGH</v>
      </c>
      <c r="E31"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31"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31"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31" s="123" t="str">
        <f>_xlfn.XLOOKUP(C31,Errorlog_table[AIR],Errorlog_table[Description],"not found",0,-1)</f>
        <v>not found</v>
      </c>
      <c r="I31" s="123" t="s">
        <v>1035</v>
      </c>
      <c r="J31"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31"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31"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31"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31" s="2">
        <f>MTBF_pareto[[#This Row],[Main Customer]]+MTBF_pareto[[#This Row],[Other Customer1]]+MTBF_pareto[[#This Row],[Other Customer2]]</f>
        <v>0</v>
      </c>
      <c r="O31" s="2">
        <f>IF(MTBF_pareto[[#This Row],[Status]]="Solved",MTBF_pareto[[#This Row],[Downtime solved]],IF(MTBF_pareto[[#This Row],[Status]]="Open",MTBF_pareto[[#This Row],[Downtime open]],MTBF_pareto[[#This Row],[Downtime planned]]))</f>
        <v>0</v>
      </c>
      <c r="P31" s="123" t="str" cm="1">
        <f t="array" ref="P31">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31" s="131" t="str" cm="1">
        <f t="array" ref="Q31">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31" s="2">
        <f>COUNTIFS(Errorlog_table[AIR],MTBF_pareto[[#This Row],[AIR]],Errorlog_table[P_Hits],"Y",Errorlog_table[Year_Week_Number],"&gt;="&amp;$K$3,Errorlog_table[Year_Week_Number],"&lt;="&amp;$C$4)</f>
        <v>0</v>
      </c>
      <c r="S31" s="135">
        <f>COUNTIFS(Errorlog_table[AIR],MTBF_pareto[[#This Row],[AIR]],Errorlog_table[U_Hits],"Y",Errorlog_table[Year_Week_Number],"&gt;="&amp;$K$3,Errorlog_table[Year_Week_Number],"&lt;="&amp;$C$4)</f>
        <v>0</v>
      </c>
      <c r="T31" s="135">
        <f>COUNTIFS(Errorlog_table[AIR],MTBF_pareto[[#This Row],[AIR]],Errorlog_table[P_Hits],"Y",Errorlog_table[Year_Week_Number],"&gt;="&amp;$K$3,Errorlog_table[Year_Week_Number],"&lt;="&amp;$C$4,Errorlog_table[System],$K$1)</f>
        <v>0</v>
      </c>
      <c r="U31" s="135">
        <f>COUNTIFS(Errorlog_table[AIR],MTBF_pareto[[#This Row],[AIR]],Errorlog_table[U_Hits],"Y",Errorlog_table[Year_Week_Number],"&gt;="&amp;$K$3,Errorlog_table[Year_Week_Number],"&lt;="&amp;$C$4,Errorlog_table[System],$K$1)</f>
        <v>0</v>
      </c>
      <c r="V31" s="2">
        <v>2</v>
      </c>
      <c r="W31" s="2" t="s">
        <v>990</v>
      </c>
      <c r="X31" s="123" t="str">
        <f>_xlfn.XLOOKUP(MTBF_pareto[[#This Row],[AIR]],AIR_dump[Number],AIR_dump[Amb Work notes],"not on amb list",0)</f>
        <v/>
      </c>
    </row>
    <row r="32" spans="1:24">
      <c r="A32" s="170" t="s">
        <v>994</v>
      </c>
      <c r="B32" s="170" t="str">
        <f>_xlfn.XLOOKUP(C32,Errorlog_table[AIR],Errorlog_table[Root_Error],"not found",0,-1)</f>
        <v>not found</v>
      </c>
      <c r="C32" s="3" t="s">
        <v>1036</v>
      </c>
      <c r="D32" s="3" t="str">
        <f>_xlfn.XLOOKUP(MTBF_pareto[[#This Row],[AIR]],AIR_dump[Number],AIR_dump[Project lead],"N/A",0)</f>
        <v>OBOI</v>
      </c>
      <c r="E32"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32"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32"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32" s="123" t="str">
        <f>_xlfn.XLOOKUP(C32,Errorlog_table[AIR],Errorlog_table[Description],"not found",0,-1)</f>
        <v>not found</v>
      </c>
      <c r="I32" s="123" t="s">
        <v>1013</v>
      </c>
      <c r="J32"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32"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32"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32"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32" s="2">
        <f>MTBF_pareto[[#This Row],[Main Customer]]+MTBF_pareto[[#This Row],[Other Customer1]]+MTBF_pareto[[#This Row],[Other Customer2]]</f>
        <v>0</v>
      </c>
      <c r="O32" s="2">
        <f>IF(MTBF_pareto[[#This Row],[Status]]="Solved",MTBF_pareto[[#This Row],[Downtime solved]],IF(MTBF_pareto[[#This Row],[Status]]="Open",MTBF_pareto[[#This Row],[Downtime open]],MTBF_pareto[[#This Row],[Downtime planned]]))</f>
        <v>0</v>
      </c>
      <c r="P32" s="123" t="str" cm="1">
        <f t="array" ref="P32">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32" s="131" t="str" cm="1">
        <f t="array" ref="Q32">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32" s="2">
        <f>COUNTIFS(Errorlog_table[AIR],MTBF_pareto[[#This Row],[AIR]],Errorlog_table[P_Hits],"Y",Errorlog_table[Year_Week_Number],"&gt;="&amp;$K$3,Errorlog_table[Year_Week_Number],"&lt;="&amp;$C$4)</f>
        <v>0</v>
      </c>
      <c r="S32" s="135">
        <f>COUNTIFS(Errorlog_table[AIR],MTBF_pareto[[#This Row],[AIR]],Errorlog_table[U_Hits],"Y",Errorlog_table[Year_Week_Number],"&gt;="&amp;$K$3,Errorlog_table[Year_Week_Number],"&lt;="&amp;$C$4)</f>
        <v>0</v>
      </c>
      <c r="T32" s="135">
        <f>COUNTIFS(Errorlog_table[AIR],MTBF_pareto[[#This Row],[AIR]],Errorlog_table[P_Hits],"Y",Errorlog_table[Year_Week_Number],"&gt;="&amp;$K$3,Errorlog_table[Year_Week_Number],"&lt;="&amp;$C$4,Errorlog_table[System],$K$1)</f>
        <v>0</v>
      </c>
      <c r="U32" s="135">
        <f>COUNTIFS(Errorlog_table[AIR],MTBF_pareto[[#This Row],[AIR]],Errorlog_table[U_Hits],"Y",Errorlog_table[Year_Week_Number],"&gt;="&amp;$K$3,Errorlog_table[Year_Week_Number],"&lt;="&amp;$C$4,Errorlog_table[System],$K$1)</f>
        <v>0</v>
      </c>
      <c r="V32" s="2">
        <v>2</v>
      </c>
      <c r="W32" s="2" t="s">
        <v>581</v>
      </c>
      <c r="X32" s="123" t="str">
        <f>_xlfn.XLOOKUP(MTBF_pareto[[#This Row],[AIR]],AIR_dump[Number],AIR_dump[Amb Work notes],"not on amb list",0)</f>
        <v xml:space="preserve">2502.3 13:34:30 - Shravan Rajagopalan (Amb Work notes)
Check with Amin to enrich AIR on next hit
2452.2 15:19:01 - Shravan Rajagopalan (Amb Work notes)
Wk50: Intake ongoing
</v>
      </c>
    </row>
    <row r="33" spans="1:24">
      <c r="A33" s="170" t="s">
        <v>994</v>
      </c>
      <c r="B33" s="170" t="str">
        <f>_xlfn.XLOOKUP(C33,Errorlog_table[AIR],Errorlog_table[Root_Error],"not found",0,-1)</f>
        <v>WH-252E</v>
      </c>
      <c r="C33" s="3" t="s">
        <v>473</v>
      </c>
      <c r="D33" s="3" t="str">
        <f>_xlfn.XLOOKUP(MTBF_pareto[[#This Row],[AIR]],AIR_dump[Number],AIR_dump[Project lead],"N/A",0)</f>
        <v>THID</v>
      </c>
      <c r="E33"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33"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33"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33" s="123" t="str">
        <f>_xlfn.XLOOKUP(C33,Errorlog_table[AIR],Errorlog_table[Description],"not found",0,-1)</f>
        <v>EpmID:113189| SCN - CU_DO_LOT_Aborted (Lot Abort) | WH-252E |</v>
      </c>
      <c r="I33" s="123" t="s">
        <v>1013</v>
      </c>
      <c r="J33"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33"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33"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33"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33" s="2">
        <f>MTBF_pareto[[#This Row],[Main Customer]]+MTBF_pareto[[#This Row],[Other Customer1]]+MTBF_pareto[[#This Row],[Other Customer2]]</f>
        <v>0</v>
      </c>
      <c r="O33" s="2">
        <f>IF(MTBF_pareto[[#This Row],[Status]]="Solved",MTBF_pareto[[#This Row],[Downtime solved]],IF(MTBF_pareto[[#This Row],[Status]]="Open",MTBF_pareto[[#This Row],[Downtime open]],MTBF_pareto[[#This Row],[Downtime planned]]))</f>
        <v>0</v>
      </c>
      <c r="P33" s="123" t="str" cm="1">
        <f t="array" ref="P33">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33" s="131" t="str" cm="1">
        <f t="array" ref="Q33">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33" s="2">
        <f>COUNTIFS(Errorlog_table[AIR],MTBF_pareto[[#This Row],[AIR]],Errorlog_table[P_Hits],"Y",Errorlog_table[Year_Week_Number],"&gt;="&amp;$K$3,Errorlog_table[Year_Week_Number],"&lt;="&amp;$C$4)</f>
        <v>0</v>
      </c>
      <c r="S33" s="2">
        <f>COUNTIFS(Errorlog_table[AIR],MTBF_pareto[[#This Row],[AIR]],Errorlog_table[U_Hits],"Y",Errorlog_table[Year_Week_Number],"&gt;="&amp;$K$3,Errorlog_table[Year_Week_Number],"&lt;="&amp;$C$4)</f>
        <v>0</v>
      </c>
      <c r="T33" s="2">
        <f>COUNTIFS(Errorlog_table[AIR],MTBF_pareto[[#This Row],[AIR]],Errorlog_table[P_Hits],"Y",Errorlog_table[Year_Week_Number],"&gt;="&amp;$K$3,Errorlog_table[Year_Week_Number],"&lt;="&amp;$C$4,Errorlog_table[System],$K$1)</f>
        <v>0</v>
      </c>
      <c r="U33" s="2">
        <f>COUNTIFS(Errorlog_table[AIR],MTBF_pareto[[#This Row],[AIR]],Errorlog_table[U_Hits],"Y",Errorlog_table[Year_Week_Number],"&gt;="&amp;$K$3,Errorlog_table[Year_Week_Number],"&lt;="&amp;$C$4,Errorlog_table[System],$K$1)</f>
        <v>0</v>
      </c>
      <c r="V33" s="2">
        <v>1</v>
      </c>
      <c r="W33" s="2" t="s">
        <v>581</v>
      </c>
      <c r="X33" s="123" t="str">
        <f>_xlfn.XLOOKUP(MTBF_pareto[[#This Row],[AIR]],AIR_dump[Number],AIR_dump[Amb Work notes],"not on amb list",0)</f>
        <v xml:space="preserve">2452.2 15:40:15 - Shravan Rajagopalan (Amb Work notes)
[intake 2450]
</v>
      </c>
    </row>
    <row r="34" spans="1:24">
      <c r="A34" s="170" t="s">
        <v>994</v>
      </c>
      <c r="B34" s="170" t="str">
        <f>_xlfn.XLOOKUP(C34,Errorlog_table[AIR],Errorlog_table[Root_Error],"not found",0,-1)</f>
        <v>not found</v>
      </c>
      <c r="C34" s="3" t="s">
        <v>1037</v>
      </c>
      <c r="D34" s="3" t="str">
        <f>_xlfn.XLOOKUP(MTBF_pareto[[#This Row],[AIR]],AIR_dump[Number],AIR_dump[Project lead],"N/A",0)</f>
        <v>RABG</v>
      </c>
      <c r="E34"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34"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34"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34" s="123" t="str">
        <f>_xlfn.XLOOKUP(C34,Errorlog_table[AIR],Errorlog_table[Description],"not found",0,-1)</f>
        <v>not found</v>
      </c>
      <c r="I34" s="123" t="s">
        <v>1038</v>
      </c>
      <c r="J34"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34"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34"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34"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34" s="2">
        <f>MTBF_pareto[[#This Row],[Main Customer]]+MTBF_pareto[[#This Row],[Other Customer1]]+MTBF_pareto[[#This Row],[Other Customer2]]</f>
        <v>0</v>
      </c>
      <c r="O34" s="2">
        <f>IF(MTBF_pareto[[#This Row],[Status]]="Solved",MTBF_pareto[[#This Row],[Downtime solved]],IF(MTBF_pareto[[#This Row],[Status]]="Open",MTBF_pareto[[#This Row],[Downtime open]],MTBF_pareto[[#This Row],[Downtime planned]]))</f>
        <v>0</v>
      </c>
      <c r="P34" s="123" t="str" cm="1">
        <f t="array" ref="P34">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34" s="131" t="str" cm="1">
        <f t="array" ref="Q34">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34" s="2">
        <f>COUNTIFS(Errorlog_table[AIR],MTBF_pareto[[#This Row],[AIR]],Errorlog_table[P_Hits],"Y",Errorlog_table[Year_Week_Number],"&gt;="&amp;$K$3,Errorlog_table[Year_Week_Number],"&lt;="&amp;$C$4)</f>
        <v>0</v>
      </c>
      <c r="S34" s="2">
        <f>COUNTIFS(Errorlog_table[AIR],MTBF_pareto[[#This Row],[AIR]],Errorlog_table[U_Hits],"Y",Errorlog_table[Year_Week_Number],"&gt;="&amp;$K$3,Errorlog_table[Year_Week_Number],"&lt;="&amp;$C$4)</f>
        <v>0</v>
      </c>
      <c r="T34" s="2">
        <f>COUNTIFS(Errorlog_table[AIR],MTBF_pareto[[#This Row],[AIR]],Errorlog_table[P_Hits],"Y",Errorlog_table[Year_Week_Number],"&gt;="&amp;$K$3,Errorlog_table[Year_Week_Number],"&lt;="&amp;$C$4,Errorlog_table[System],$K$1)</f>
        <v>0</v>
      </c>
      <c r="U34" s="2">
        <f>COUNTIFS(Errorlog_table[AIR],MTBF_pareto[[#This Row],[AIR]],Errorlog_table[U_Hits],"Y",Errorlog_table[Year_Week_Number],"&gt;="&amp;$K$3,Errorlog_table[Year_Week_Number],"&lt;="&amp;$C$4,Errorlog_table[System],$K$1)</f>
        <v>0</v>
      </c>
      <c r="V34" s="2">
        <v>2</v>
      </c>
      <c r="W34" s="2" t="s">
        <v>581</v>
      </c>
      <c r="X34" s="123" t="str">
        <f>_xlfn.XLOOKUP(MTBF_pareto[[#This Row],[AIR]],AIR_dump[Number],AIR_dump[Amb Work notes],"not on amb list",0)</f>
        <v xml:space="preserve">2502.3 14:06:15 - Shravan Rajagopalan (Amb Work notes)
RTT traces already installed at customer machine. Monitor for next hit
2452.2 15:29:47 - Shravan Rajagopalan (Amb Work notes)
wk50.3: Comeback on reason for low impact. Check for possiblity for improved Diagnostics 
wk49.3: Sufficient data available to do investigation. Trying to recreate the issue with the dev bench 
wk48.3: RC still not clear, comeback next week
wk47.3: New issue. To be investigated
</v>
      </c>
    </row>
    <row r="35" spans="1:24">
      <c r="A35" s="170" t="s">
        <v>994</v>
      </c>
      <c r="B35" s="170" t="str">
        <f>_xlfn.XLOOKUP(C35,Errorlog_table[AIR],Errorlog_table[Root_Error],"not found",0,-1)</f>
        <v>not found</v>
      </c>
      <c r="C35" s="3" t="s">
        <v>1039</v>
      </c>
      <c r="D35" s="3" t="str">
        <f>_xlfn.XLOOKUP(MTBF_pareto[[#This Row],[AIR]],AIR_dump[Number],AIR_dump[Project lead],"N/A",0)</f>
        <v>BCOF</v>
      </c>
      <c r="E35"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35"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35"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35" s="123" t="str">
        <f>_xlfn.XLOOKUP(C35,Errorlog_table[AIR],Errorlog_table[Description],"not found",0,-1)</f>
        <v>not found</v>
      </c>
      <c r="I35" s="123" t="s">
        <v>1040</v>
      </c>
      <c r="J35"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35"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35"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35"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35" s="2">
        <f>MTBF_pareto[[#This Row],[Main Customer]]+MTBF_pareto[[#This Row],[Other Customer1]]+MTBF_pareto[[#This Row],[Other Customer2]]</f>
        <v>0</v>
      </c>
      <c r="O35" s="2">
        <f>IF(MTBF_pareto[[#This Row],[Status]]="Solved",MTBF_pareto[[#This Row],[Downtime solved]],IF(MTBF_pareto[[#This Row],[Status]]="Open",MTBF_pareto[[#This Row],[Downtime open]],MTBF_pareto[[#This Row],[Downtime planned]]))</f>
        <v>0</v>
      </c>
      <c r="P35" s="123" t="str" cm="1">
        <f t="array" ref="P35">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35" s="131" t="str" cm="1">
        <f t="array" ref="Q35">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35" s="2">
        <f>COUNTIFS(Errorlog_table[AIR],MTBF_pareto[[#This Row],[AIR]],Errorlog_table[P_Hits],"Y",Errorlog_table[Year_Week_Number],"&gt;="&amp;$K$3,Errorlog_table[Year_Week_Number],"&lt;="&amp;$C$4)</f>
        <v>0</v>
      </c>
      <c r="S35" s="2">
        <f>COUNTIFS(Errorlog_table[AIR],MTBF_pareto[[#This Row],[AIR]],Errorlog_table[U_Hits],"Y",Errorlog_table[Year_Week_Number],"&gt;="&amp;$K$3,Errorlog_table[Year_Week_Number],"&lt;="&amp;$C$4)</f>
        <v>0</v>
      </c>
      <c r="T35" s="2">
        <f>COUNTIFS(Errorlog_table[AIR],MTBF_pareto[[#This Row],[AIR]],Errorlog_table[P_Hits],"Y",Errorlog_table[Year_Week_Number],"&gt;="&amp;$K$3,Errorlog_table[Year_Week_Number],"&lt;="&amp;$C$4,Errorlog_table[System],$K$1)</f>
        <v>0</v>
      </c>
      <c r="U35" s="2">
        <f>COUNTIFS(Errorlog_table[AIR],MTBF_pareto[[#This Row],[AIR]],Errorlog_table[U_Hits],"Y",Errorlog_table[Year_Week_Number],"&gt;="&amp;$K$3,Errorlog_table[Year_Week_Number],"&lt;="&amp;$C$4,Errorlog_table[System],$K$1)</f>
        <v>0</v>
      </c>
      <c r="V35" s="2">
        <v>2</v>
      </c>
      <c r="W35" s="2" t="s">
        <v>581</v>
      </c>
      <c r="X35" s="123" t="str">
        <f>_xlfn.XLOOKUP(MTBF_pareto[[#This Row],[AIR]],AIR_dump[Number],AIR_dump[Amb Work notes],"not on amb list",0)</f>
        <v xml:space="preserve">2502.3 13:09:30 - Shravan Rajagopalan (Amb Work notes)
Check with Georgios Dragoumanos and Freedom Nelson if PCS is followed
2502.3 13:06:11 - Shravan Rajagopalan (Amb Work notes)
Check with Freedom Nelson to check with CS on AP being followed
2501.4 08:56:28 - Shravan Rajagopalan (Amb Work notes)
P840643 and P844884 [TSMC hit] are blocked till this solution is available.
2452.2 14:39:10 - Shravan Rajagopalan (Amb Work notes)
wk51.3: Issue related to ASML scripts rolling out to Customer. Solution direction known. "
"Wk50: Intake ongoing
</v>
      </c>
    </row>
    <row r="36" spans="1:24" hidden="1">
      <c r="A36" s="170" t="s">
        <v>991</v>
      </c>
      <c r="B36" s="170" t="str">
        <f>_xlfn.XLOOKUP(C36,Errorlog_table[AIR],Errorlog_table[Root_Error],"not found",0,-1)</f>
        <v>not found</v>
      </c>
      <c r="C36" s="3" t="s">
        <v>1041</v>
      </c>
      <c r="D36" s="3" t="str">
        <f>_xlfn.XLOOKUP(MTBF_pareto[[#This Row],[AIR]],AIR_dump[Number],AIR_dump[Project lead],"N/A",0)</f>
        <v>VLEC</v>
      </c>
      <c r="E36"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36"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36" s="2">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H36" s="123" t="str">
        <f>_xlfn.XLOOKUP(C36,Errorlog_table[AIR],Errorlog_table[Description],"not found",0,-1)</f>
        <v>not found</v>
      </c>
      <c r="I36" s="123" t="s">
        <v>1042</v>
      </c>
      <c r="J36"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36"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36"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36"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36" s="2">
        <f>MTBF_pareto[[#This Row],[Main Customer]]+MTBF_pareto[[#This Row],[Other Customer1]]+MTBF_pareto[[#This Row],[Other Customer2]]</f>
        <v>0</v>
      </c>
      <c r="O36" s="2">
        <f>IF(MTBF_pareto[[#This Row],[Status]]="Solved",MTBF_pareto[[#This Row],[Downtime solved]],IF(MTBF_pareto[[#This Row],[Status]]="Open",MTBF_pareto[[#This Row],[Downtime open]],MTBF_pareto[[#This Row],[Downtime planned]]))</f>
        <v>0</v>
      </c>
      <c r="P36" s="123" t="str" cm="1">
        <f t="array" ref="P36">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36" s="131" t="str" cm="1">
        <f t="array" ref="Q36">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36" s="2">
        <f>COUNTIFS(Errorlog_table[AIR],MTBF_pareto[[#This Row],[AIR]],Errorlog_table[P_Hits],"Y",Errorlog_table[Year_Week_Number],"&gt;="&amp;$K$3,Errorlog_table[Year_Week_Number],"&lt;="&amp;$C$4)</f>
        <v>0</v>
      </c>
      <c r="S36" s="2">
        <f>COUNTIFS(Errorlog_table[AIR],MTBF_pareto[[#This Row],[AIR]],Errorlog_table[U_Hits],"Y",Errorlog_table[Year_Week_Number],"&gt;="&amp;$K$3,Errorlog_table[Year_Week_Number],"&lt;="&amp;$C$4)</f>
        <v>0</v>
      </c>
      <c r="T36" s="2">
        <f>COUNTIFS(Errorlog_table[AIR],MTBF_pareto[[#This Row],[AIR]],Errorlog_table[P_Hits],"Y",Errorlog_table[Year_Week_Number],"&gt;="&amp;$K$3,Errorlog_table[Year_Week_Number],"&lt;="&amp;$C$4,Errorlog_table[System],$K$1)</f>
        <v>0</v>
      </c>
      <c r="U36" s="2">
        <f>COUNTIFS(Errorlog_table[AIR],MTBF_pareto[[#This Row],[AIR]],Errorlog_table[U_Hits],"Y",Errorlog_table[Year_Week_Number],"&gt;="&amp;$K$3,Errorlog_table[Year_Week_Number],"&lt;="&amp;$C$4,Errorlog_table[System],$K$1)</f>
        <v>0</v>
      </c>
      <c r="V36" s="2">
        <v>2</v>
      </c>
      <c r="W36" s="2" t="s">
        <v>581</v>
      </c>
      <c r="X36" s="123" t="str">
        <f>_xlfn.XLOOKUP(MTBF_pareto[[#This Row],[AIR]],AIR_dump[Number],AIR_dump[Amb Work notes],"not on amb list",0)</f>
        <v xml:space="preserve">2452.2 15:47:00 - Shravan Rajagopalan (Amb Work notes)
Wk46: RCA ongoing
wk48.3: Comeback in 9am
</v>
      </c>
    </row>
    <row r="37" spans="1:24">
      <c r="A37" s="170" t="s">
        <v>994</v>
      </c>
      <c r="B37" s="170" t="str">
        <f>_xlfn.XLOOKUP(C37,Errorlog_table[AIR],Errorlog_table[Root_Error],"not found",0,-1)</f>
        <v>not found</v>
      </c>
      <c r="C37" s="3" t="s">
        <v>1043</v>
      </c>
      <c r="D37" s="3" t="str">
        <f>_xlfn.XLOOKUP(MTBF_pareto[[#This Row],[AIR]],AIR_dump[Number],AIR_dump[Project lead],"N/A",0)</f>
        <v>NDRI</v>
      </c>
      <c r="E37"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37"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37"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37" s="123" t="str">
        <f>_xlfn.XLOOKUP(C37,Errorlog_table[AIR],Errorlog_table[Description],"not found",0,-1)</f>
        <v>not found</v>
      </c>
      <c r="I37" s="123" t="s">
        <v>1013</v>
      </c>
      <c r="J37"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37"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37"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37"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37" s="2">
        <f>MTBF_pareto[[#This Row],[Main Customer]]+MTBF_pareto[[#This Row],[Other Customer1]]+MTBF_pareto[[#This Row],[Other Customer2]]</f>
        <v>0</v>
      </c>
      <c r="O37" s="2">
        <f>IF(MTBF_pareto[[#This Row],[Status]]="Solved",MTBF_pareto[[#This Row],[Downtime solved]],IF(MTBF_pareto[[#This Row],[Status]]="Open",MTBF_pareto[[#This Row],[Downtime open]],MTBF_pareto[[#This Row],[Downtime planned]]))</f>
        <v>0</v>
      </c>
      <c r="P37" s="123" t="str" cm="1">
        <f t="array" ref="P37">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37" s="131" t="str" cm="1">
        <f t="array" ref="Q37">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37" s="2">
        <f>COUNTIFS(Errorlog_table[AIR],MTBF_pareto[[#This Row],[AIR]],Errorlog_table[P_Hits],"Y",Errorlog_table[Year_Week_Number],"&gt;="&amp;$K$3,Errorlog_table[Year_Week_Number],"&lt;="&amp;$C$4)</f>
        <v>0</v>
      </c>
      <c r="S37" s="2">
        <f>COUNTIFS(Errorlog_table[AIR],MTBF_pareto[[#This Row],[AIR]],Errorlog_table[U_Hits],"Y",Errorlog_table[Year_Week_Number],"&gt;="&amp;$K$3,Errorlog_table[Year_Week_Number],"&lt;="&amp;$C$4)</f>
        <v>0</v>
      </c>
      <c r="T37" s="2">
        <f>COUNTIFS(Errorlog_table[AIR],MTBF_pareto[[#This Row],[AIR]],Errorlog_table[P_Hits],"Y",Errorlog_table[Year_Week_Number],"&gt;="&amp;$K$3,Errorlog_table[Year_Week_Number],"&lt;="&amp;$C$4,Errorlog_table[System],$K$1)</f>
        <v>0</v>
      </c>
      <c r="U37" s="2">
        <f>COUNTIFS(Errorlog_table[AIR],MTBF_pareto[[#This Row],[AIR]],Errorlog_table[U_Hits],"Y",Errorlog_table[Year_Week_Number],"&gt;="&amp;$K$3,Errorlog_table[Year_Week_Number],"&lt;="&amp;$C$4,Errorlog_table[System],$K$1)</f>
        <v>0</v>
      </c>
      <c r="V37" s="2">
        <v>2</v>
      </c>
      <c r="W37" s="2" t="s">
        <v>581</v>
      </c>
      <c r="X37" s="123" t="str">
        <f>_xlfn.XLOOKUP(MTBF_pareto[[#This Row],[AIR]],AIR_dump[Number],AIR_dump[Amb Work notes],"not on amb list",0)</f>
        <v xml:space="preserve">2503.3 14:16:50 - Isaac Castanedo Guerra (Amb Work notes)
Insufficient logging to do investigation. Logging from Drive Laser. Bring back to CS and competence engineer. Action on reliab team to help get logging.
2452.2 14:34:35 - Shravan Rajagopalan (Amb Work notes)
Wk50: Intake complete. RCA ongoing
</v>
      </c>
    </row>
    <row r="38" spans="1:24">
      <c r="A38" s="170" t="s">
        <v>994</v>
      </c>
      <c r="B38" s="170" t="str">
        <f>_xlfn.XLOOKUP(C38,Errorlog_table[AIR],Errorlog_table[Root_Error],"not found",0,-1)</f>
        <v>not found</v>
      </c>
      <c r="C38" s="3" t="s">
        <v>1044</v>
      </c>
      <c r="D38" s="3" t="str">
        <f>_xlfn.XLOOKUP(MTBF_pareto[[#This Row],[AIR]],AIR_dump[Number],AIR_dump[Project lead],"N/A",0)</f>
        <v>RABG</v>
      </c>
      <c r="E38"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38"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38"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38" s="123" t="str">
        <f>_xlfn.XLOOKUP(C38,Errorlog_table[AIR],Errorlog_table[Description],"not found",0,-1)</f>
        <v>not found</v>
      </c>
      <c r="I38" s="123" t="s">
        <v>1013</v>
      </c>
      <c r="J38"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38"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38"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38"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38" s="2">
        <f>MTBF_pareto[[#This Row],[Main Customer]]+MTBF_pareto[[#This Row],[Other Customer1]]+MTBF_pareto[[#This Row],[Other Customer2]]</f>
        <v>0</v>
      </c>
      <c r="O38" s="2">
        <f>IF(MTBF_pareto[[#This Row],[Status]]="Solved",MTBF_pareto[[#This Row],[Downtime solved]],IF(MTBF_pareto[[#This Row],[Status]]="Open",MTBF_pareto[[#This Row],[Downtime open]],MTBF_pareto[[#This Row],[Downtime planned]]))</f>
        <v>0</v>
      </c>
      <c r="P38" s="123" t="str" cm="1">
        <f t="array" ref="P38">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38" s="131" t="str" cm="1">
        <f t="array" ref="Q38">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38" s="2">
        <f>COUNTIFS(Errorlog_table[AIR],MTBF_pareto[[#This Row],[AIR]],Errorlog_table[P_Hits],"Y",Errorlog_table[Year_Week_Number],"&gt;="&amp;$K$3,Errorlog_table[Year_Week_Number],"&lt;="&amp;$C$4)</f>
        <v>0</v>
      </c>
      <c r="S38" s="2">
        <f>COUNTIFS(Errorlog_table[AIR],MTBF_pareto[[#This Row],[AIR]],Errorlog_table[U_Hits],"Y",Errorlog_table[Year_Week_Number],"&gt;="&amp;$K$3,Errorlog_table[Year_Week_Number],"&lt;="&amp;$C$4)</f>
        <v>0</v>
      </c>
      <c r="T38" s="2">
        <f>COUNTIFS(Errorlog_table[AIR],MTBF_pareto[[#This Row],[AIR]],Errorlog_table[P_Hits],"Y",Errorlog_table[Year_Week_Number],"&gt;="&amp;$K$3,Errorlog_table[Year_Week_Number],"&lt;="&amp;$C$4,Errorlog_table[System],$K$1)</f>
        <v>0</v>
      </c>
      <c r="U38" s="2">
        <f>COUNTIFS(Errorlog_table[AIR],MTBF_pareto[[#This Row],[AIR]],Errorlog_table[U_Hits],"Y",Errorlog_table[Year_Week_Number],"&gt;="&amp;$K$3,Errorlog_table[Year_Week_Number],"&lt;="&amp;$C$4,Errorlog_table[System],$K$1)</f>
        <v>0</v>
      </c>
      <c r="V38" s="2">
        <v>1</v>
      </c>
      <c r="W38" s="2" t="s">
        <v>581</v>
      </c>
      <c r="X38" s="123" t="str">
        <f>_xlfn.XLOOKUP(MTBF_pareto[[#This Row],[AIR]],AIR_dump[Number],AIR_dump[Amb Work notes],"not on amb list",0)</f>
        <v xml:space="preserve">2452.2 15:30:24 - Shravan Rajagopalan (Amb Work notes)
wk50.3: Real time tracing added to tool. Monitor for next hit
wk49.3: Data collection to be requested for mET18. Update coverage for only U hits
wk48.3: Collecting more data from machine. Come back start of wk49. 
wk47.3: New issue. To be investigated
</v>
      </c>
    </row>
    <row r="39" spans="1:24">
      <c r="A39" s="170" t="s">
        <v>994</v>
      </c>
      <c r="B39" s="170" t="str">
        <f>_xlfn.XLOOKUP(C39,Errorlog_table[AIR],Errorlog_table[Root_Error],"not found",0,-1)</f>
        <v>not found</v>
      </c>
      <c r="C39" s="3" t="s">
        <v>1045</v>
      </c>
      <c r="D39" s="3" t="str">
        <f>_xlfn.XLOOKUP(MTBF_pareto[[#This Row],[AIR]],AIR_dump[Number],AIR_dump[Project lead],"N/A",0)</f>
        <v>THID</v>
      </c>
      <c r="E39"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39"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39"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39" s="123" t="str">
        <f>_xlfn.XLOOKUP(C39,Errorlog_table[AIR],Errorlog_table[Description],"not found",0,-1)</f>
        <v>not found</v>
      </c>
      <c r="I39" s="123" t="s">
        <v>1046</v>
      </c>
      <c r="J39"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39"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39"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39"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39" s="2">
        <f>MTBF_pareto[[#This Row],[Main Customer]]+MTBF_pareto[[#This Row],[Other Customer1]]+MTBF_pareto[[#This Row],[Other Customer2]]</f>
        <v>0</v>
      </c>
      <c r="O39" s="2">
        <f>IF(MTBF_pareto[[#This Row],[Status]]="Solved",MTBF_pareto[[#This Row],[Downtime solved]],IF(MTBF_pareto[[#This Row],[Status]]="Open",MTBF_pareto[[#This Row],[Downtime open]],MTBF_pareto[[#This Row],[Downtime planned]]))</f>
        <v>0</v>
      </c>
      <c r="P39" s="123" t="str" cm="1">
        <f t="array" ref="P39">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39" s="131" t="str" cm="1">
        <f t="array" ref="Q39">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39" s="2">
        <f>COUNTIFS(Errorlog_table[AIR],MTBF_pareto[[#This Row],[AIR]],Errorlog_table[P_Hits],"Y",Errorlog_table[Year_Week_Number],"&gt;="&amp;$K$3,Errorlog_table[Year_Week_Number],"&lt;="&amp;$C$4)</f>
        <v>0</v>
      </c>
      <c r="S39" s="2">
        <f>COUNTIFS(Errorlog_table[AIR],MTBF_pareto[[#This Row],[AIR]],Errorlog_table[U_Hits],"Y",Errorlog_table[Year_Week_Number],"&gt;="&amp;$K$3,Errorlog_table[Year_Week_Number],"&lt;="&amp;$C$4)</f>
        <v>0</v>
      </c>
      <c r="T39" s="2">
        <f>COUNTIFS(Errorlog_table[AIR],MTBF_pareto[[#This Row],[AIR]],Errorlog_table[P_Hits],"Y",Errorlog_table[Year_Week_Number],"&gt;="&amp;$K$3,Errorlog_table[Year_Week_Number],"&lt;="&amp;$C$4,Errorlog_table[System],$K$1)</f>
        <v>0</v>
      </c>
      <c r="U39" s="2">
        <f>COUNTIFS(Errorlog_table[AIR],MTBF_pareto[[#This Row],[AIR]],Errorlog_table[U_Hits],"Y",Errorlog_table[Year_Week_Number],"&gt;="&amp;$K$3,Errorlog_table[Year_Week_Number],"&lt;="&amp;$C$4,Errorlog_table[System],$K$1)</f>
        <v>0</v>
      </c>
      <c r="V39" s="2">
        <v>1</v>
      </c>
      <c r="W39" s="2" t="s">
        <v>581</v>
      </c>
      <c r="X39" s="123" t="str">
        <f>_xlfn.XLOOKUP(MTBF_pareto[[#This Row],[AIR]],AIR_dump[Number],AIR_dump[Amb Work notes],"not on amb list",0)</f>
        <v xml:space="preserve">2452.2 15:40:04 - Shravan Rajagopalan (Amb Work notes)
[intake 2447]
wk49.2: Not considered as WH issue. Track issue. Check with LT TEL engineers to see if TEL can fix it. Check if these are really MTBFp or MTBFu issue  
wk48.2: Intake still pending. CS -CE to enrich AIR
</v>
      </c>
    </row>
    <row r="40" spans="1:24" hidden="1">
      <c r="A40" s="170" t="s">
        <v>988</v>
      </c>
      <c r="B40" s="170" t="str">
        <f>_xlfn.XLOOKUP(C40,Errorlog_table[AIR],Errorlog_table[Root_Error],"not found",0,-1)</f>
        <v>not found</v>
      </c>
      <c r="C40" s="3" t="s">
        <v>1047</v>
      </c>
      <c r="D40" s="3" t="str">
        <f>_xlfn.XLOOKUP(MTBF_pareto[[#This Row],[AIR]],AIR_dump[Number],AIR_dump[Project lead],"N/A",0)</f>
        <v>THID</v>
      </c>
      <c r="E40"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40"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40"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40" s="123" t="str">
        <f>_xlfn.XLOOKUP(C40,Errorlog_table[AIR],Errorlog_table[Description],"not found",0,-1)</f>
        <v>not found</v>
      </c>
      <c r="I40" s="123" t="s">
        <v>1000</v>
      </c>
      <c r="J40"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40"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40"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40"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40" s="2">
        <f>MTBF_pareto[[#This Row],[Main Customer]]+MTBF_pareto[[#This Row],[Other Customer1]]+MTBF_pareto[[#This Row],[Other Customer2]]</f>
        <v>0</v>
      </c>
      <c r="O40" s="2">
        <f>IF(MTBF_pareto[[#This Row],[Status]]="Solved",MTBF_pareto[[#This Row],[Downtime solved]],IF(MTBF_pareto[[#This Row],[Status]]="Open",MTBF_pareto[[#This Row],[Downtime open]],MTBF_pareto[[#This Row],[Downtime planned]]))</f>
        <v>0</v>
      </c>
      <c r="P40" s="123" t="str" cm="1">
        <f t="array" ref="P40">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40" s="131" t="str" cm="1">
        <f t="array" ref="Q40">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40" s="2">
        <f>COUNTIFS(Errorlog_table[AIR],MTBF_pareto[[#This Row],[AIR]],Errorlog_table[P_Hits],"Y",Errorlog_table[Year_Week_Number],"&gt;="&amp;$K$3,Errorlog_table[Year_Week_Number],"&lt;="&amp;$C$4)</f>
        <v>0</v>
      </c>
      <c r="S40" s="2">
        <f>COUNTIFS(Errorlog_table[AIR],MTBF_pareto[[#This Row],[AIR]],Errorlog_table[U_Hits],"Y",Errorlog_table[Year_Week_Number],"&gt;="&amp;$K$3,Errorlog_table[Year_Week_Number],"&lt;="&amp;$C$4)</f>
        <v>0</v>
      </c>
      <c r="T40" s="2">
        <f>COUNTIFS(Errorlog_table[AIR],MTBF_pareto[[#This Row],[AIR]],Errorlog_table[P_Hits],"Y",Errorlog_table[Year_Week_Number],"&gt;="&amp;$K$3,Errorlog_table[Year_Week_Number],"&lt;="&amp;$C$4,Errorlog_table[System],$K$1)</f>
        <v>0</v>
      </c>
      <c r="U40" s="2">
        <f>COUNTIFS(Errorlog_table[AIR],MTBF_pareto[[#This Row],[AIR]],Errorlog_table[U_Hits],"Y",Errorlog_table[Year_Week_Number],"&gt;="&amp;$K$3,Errorlog_table[Year_Week_Number],"&lt;="&amp;$C$4,Errorlog_table[System],$K$1)</f>
        <v>0</v>
      </c>
      <c r="V40" s="2">
        <v>2</v>
      </c>
      <c r="W40" s="2" t="s">
        <v>581</v>
      </c>
      <c r="X40" s="123" t="str">
        <f>_xlfn.XLOOKUP(MTBF_pareto[[#This Row],[AIR]],AIR_dump[Number],AIR_dump[Amb Work notes],"not on amb list",0)</f>
        <v xml:space="preserve">2452.2 15:42:33 - Shravan Rajagopalan (Amb Work notes)
[intake 2447]
wk49.5: 9k SP39 HOI wk50.5
wk49.2: Already in QBL
wk48.5: 9k wk 50 on track
</v>
      </c>
    </row>
    <row r="41" spans="1:24">
      <c r="A41" s="170" t="s">
        <v>994</v>
      </c>
      <c r="B41" s="170" t="str">
        <f>_xlfn.XLOOKUP(C41,Errorlog_table[AIR],Errorlog_table[Root_Error],"not found",0,-1)</f>
        <v>not found</v>
      </c>
      <c r="C41" s="3" t="s">
        <v>1048</v>
      </c>
      <c r="D41" s="3" t="str">
        <f>_xlfn.XLOOKUP(MTBF_pareto[[#This Row],[AIR]],AIR_dump[Number],AIR_dump[Project lead],"N/A",0)</f>
        <v>SBFN</v>
      </c>
      <c r="E41"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41"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41"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41" s="123" t="str">
        <f>_xlfn.XLOOKUP(C41,Errorlog_table[AIR],Errorlog_table[Description],"not found",0,-1)</f>
        <v>not found</v>
      </c>
      <c r="I41" s="123" t="s">
        <v>1049</v>
      </c>
      <c r="J41"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41"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41"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41"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41" s="2">
        <f>MTBF_pareto[[#This Row],[Main Customer]]+MTBF_pareto[[#This Row],[Other Customer1]]+MTBF_pareto[[#This Row],[Other Customer2]]</f>
        <v>0</v>
      </c>
      <c r="O41" s="2">
        <f>IF(MTBF_pareto[[#This Row],[Status]]="Solved",MTBF_pareto[[#This Row],[Downtime solved]],IF(MTBF_pareto[[#This Row],[Status]]="Open",MTBF_pareto[[#This Row],[Downtime open]],MTBF_pareto[[#This Row],[Downtime planned]]))</f>
        <v>0</v>
      </c>
      <c r="P41" s="123" t="str" cm="1">
        <f t="array" ref="P41">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41" s="131" t="str" cm="1">
        <f t="array" ref="Q41">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41" s="2">
        <f>COUNTIFS(Errorlog_table[AIR],MTBF_pareto[[#This Row],[AIR]],Errorlog_table[P_Hits],"Y",Errorlog_table[Year_Week_Number],"&gt;="&amp;$K$3,Errorlog_table[Year_Week_Number],"&lt;="&amp;$C$4)</f>
        <v>0</v>
      </c>
      <c r="S41" s="2">
        <f>COUNTIFS(Errorlog_table[AIR],MTBF_pareto[[#This Row],[AIR]],Errorlog_table[U_Hits],"Y",Errorlog_table[Year_Week_Number],"&gt;="&amp;$K$3,Errorlog_table[Year_Week_Number],"&lt;="&amp;$C$4)</f>
        <v>0</v>
      </c>
      <c r="T41" s="2">
        <f>COUNTIFS(Errorlog_table[AIR],MTBF_pareto[[#This Row],[AIR]],Errorlog_table[P_Hits],"Y",Errorlog_table[Year_Week_Number],"&gt;="&amp;$K$3,Errorlog_table[Year_Week_Number],"&lt;="&amp;$C$4,Errorlog_table[System],$K$1)</f>
        <v>0</v>
      </c>
      <c r="U41" s="2">
        <f>COUNTIFS(Errorlog_table[AIR],MTBF_pareto[[#This Row],[AIR]],Errorlog_table[U_Hits],"Y",Errorlog_table[Year_Week_Number],"&gt;="&amp;$K$3,Errorlog_table[Year_Week_Number],"&lt;="&amp;$C$4,Errorlog_table[System],$K$1)</f>
        <v>0</v>
      </c>
      <c r="V41" s="2">
        <v>1</v>
      </c>
      <c r="W41" s="2" t="s">
        <v>581</v>
      </c>
      <c r="X41" s="123" t="str">
        <f>_xlfn.XLOOKUP(MTBF_pareto[[#This Row],[AIR]],AIR_dump[Number],AIR_dump[Amb Work notes],"not on amb list",0)</f>
        <v/>
      </c>
    </row>
    <row r="42" spans="1:24">
      <c r="A42" s="170" t="s">
        <v>994</v>
      </c>
      <c r="B42" s="170" t="str">
        <f>_xlfn.XLOOKUP(C42,Errorlog_table[AIR],Errorlog_table[Root_Error],"not found",0,-1)</f>
        <v>not found</v>
      </c>
      <c r="C42" s="3" t="s">
        <v>1050</v>
      </c>
      <c r="D42" s="3" t="str">
        <f>_xlfn.XLOOKUP(MTBF_pareto[[#This Row],[AIR]],AIR_dump[Number],AIR_dump[Project lead],"N/A",0)</f>
        <v>REMG</v>
      </c>
      <c r="E42"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42"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42"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42" s="123" t="str">
        <f>_xlfn.XLOOKUP(C42,Errorlog_table[AIR],Errorlog_table[Description],"not found",0,-1)</f>
        <v>not found</v>
      </c>
      <c r="I42" s="123" t="s">
        <v>1013</v>
      </c>
      <c r="J42"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42"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42"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42"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42" s="2">
        <f>MTBF_pareto[[#This Row],[Main Customer]]+MTBF_pareto[[#This Row],[Other Customer1]]+MTBF_pareto[[#This Row],[Other Customer2]]</f>
        <v>0</v>
      </c>
      <c r="O42" s="2">
        <f>IF(MTBF_pareto[[#This Row],[Status]]="Solved",MTBF_pareto[[#This Row],[Downtime solved]],IF(MTBF_pareto[[#This Row],[Status]]="Open",MTBF_pareto[[#This Row],[Downtime open]],MTBF_pareto[[#This Row],[Downtime planned]]))</f>
        <v>0</v>
      </c>
      <c r="P42" s="123" t="str" cm="1">
        <f t="array" ref="P42">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42" s="131" t="str" cm="1">
        <f t="array" ref="Q42">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42" s="2">
        <f>COUNTIFS(Errorlog_table[AIR],MTBF_pareto[[#This Row],[AIR]],Errorlog_table[P_Hits],"Y",Errorlog_table[Year_Week_Number],"&gt;="&amp;$K$3,Errorlog_table[Year_Week_Number],"&lt;="&amp;$C$4)</f>
        <v>0</v>
      </c>
      <c r="S42" s="2">
        <f>COUNTIFS(Errorlog_table[AIR],MTBF_pareto[[#This Row],[AIR]],Errorlog_table[U_Hits],"Y",Errorlog_table[Year_Week_Number],"&gt;="&amp;$K$3,Errorlog_table[Year_Week_Number],"&lt;="&amp;$C$4)</f>
        <v>0</v>
      </c>
      <c r="T42" s="2">
        <f>COUNTIFS(Errorlog_table[AIR],MTBF_pareto[[#This Row],[AIR]],Errorlog_table[P_Hits],"Y",Errorlog_table[Year_Week_Number],"&gt;="&amp;$K$3,Errorlog_table[Year_Week_Number],"&lt;="&amp;$C$4,Errorlog_table[System],$K$1)</f>
        <v>0</v>
      </c>
      <c r="U42" s="2">
        <f>COUNTIFS(Errorlog_table[AIR],MTBF_pareto[[#This Row],[AIR]],Errorlog_table[U_Hits],"Y",Errorlog_table[Year_Week_Number],"&gt;="&amp;$K$3,Errorlog_table[Year_Week_Number],"&lt;="&amp;$C$4,Errorlog_table[System],$K$1)</f>
        <v>0</v>
      </c>
      <c r="V42" s="2">
        <v>3</v>
      </c>
      <c r="W42" s="2" t="s">
        <v>581</v>
      </c>
      <c r="X42" s="123" t="str">
        <f>_xlfn.XLOOKUP(MTBF_pareto[[#This Row],[AIR]],AIR_dump[Number],AIR_dump[Amb Work notes],"not on amb list",0)</f>
        <v xml:space="preserve">2503.3 13:22:31 - Isaac Castanedo Guerra (Amb Work notes)
DC investigated and found issue in error linking. Help request: bring clarity on impact and priority.
2452.2 14:40:55 - Shravan Rajagopalan (Amb Work notes)
wk50.3: Solution direciton still not known. Project to investigate the risk. Monitor till wk2502
</v>
      </c>
    </row>
    <row r="43" spans="1:24">
      <c r="A43" s="170" t="s">
        <v>994</v>
      </c>
      <c r="B43" s="170" t="str">
        <f>_xlfn.XLOOKUP(C43,Errorlog_table[AIR],Errorlog_table[Root_Error],"not found",0,-1)</f>
        <v>not found</v>
      </c>
      <c r="C43" s="3" t="s">
        <v>1051</v>
      </c>
      <c r="D43" s="3" t="str">
        <f>_xlfn.XLOOKUP(MTBF_pareto[[#This Row],[AIR]],AIR_dump[Number],AIR_dump[Project lead],"N/A",0)</f>
        <v>OBOI</v>
      </c>
      <c r="E43"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43"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43"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43" s="123" t="str">
        <f>_xlfn.XLOOKUP(C43,Errorlog_table[AIR],Errorlog_table[Description],"not found",0,-1)</f>
        <v>not found</v>
      </c>
      <c r="I43" s="123" t="s">
        <v>1052</v>
      </c>
      <c r="J43"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43"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43"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43"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43" s="2">
        <f>MTBF_pareto[[#This Row],[Main Customer]]+MTBF_pareto[[#This Row],[Other Customer1]]+MTBF_pareto[[#This Row],[Other Customer2]]</f>
        <v>0</v>
      </c>
      <c r="O43" s="2">
        <f>IF(MTBF_pareto[[#This Row],[Status]]="Solved",MTBF_pareto[[#This Row],[Downtime solved]],IF(MTBF_pareto[[#This Row],[Status]]="Open",MTBF_pareto[[#This Row],[Downtime open]],MTBF_pareto[[#This Row],[Downtime planned]]))</f>
        <v>0</v>
      </c>
      <c r="P43" s="123" t="str" cm="1">
        <f t="array" ref="P43">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43" s="131" t="str" cm="1">
        <f t="array" ref="Q43">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43" s="2">
        <f>COUNTIFS(Errorlog_table[AIR],MTBF_pareto[[#This Row],[AIR]],Errorlog_table[P_Hits],"Y",Errorlog_table[Year_Week_Number],"&gt;="&amp;$K$3,Errorlog_table[Year_Week_Number],"&lt;="&amp;$C$4)</f>
        <v>0</v>
      </c>
      <c r="S43" s="2">
        <f>COUNTIFS(Errorlog_table[AIR],MTBF_pareto[[#This Row],[AIR]],Errorlog_table[U_Hits],"Y",Errorlog_table[Year_Week_Number],"&gt;="&amp;$K$3,Errorlog_table[Year_Week_Number],"&lt;="&amp;$C$4)</f>
        <v>0</v>
      </c>
      <c r="T43" s="2">
        <f>COUNTIFS(Errorlog_table[AIR],MTBF_pareto[[#This Row],[AIR]],Errorlog_table[P_Hits],"Y",Errorlog_table[Year_Week_Number],"&gt;="&amp;$K$3,Errorlog_table[Year_Week_Number],"&lt;="&amp;$C$4,Errorlog_table[System],$K$1)</f>
        <v>0</v>
      </c>
      <c r="U43" s="2">
        <f>COUNTIFS(Errorlog_table[AIR],MTBF_pareto[[#This Row],[AIR]],Errorlog_table[U_Hits],"Y",Errorlog_table[Year_Week_Number],"&gt;="&amp;$K$3,Errorlog_table[Year_Week_Number],"&lt;="&amp;$C$4,Errorlog_table[System],$K$1)</f>
        <v>0</v>
      </c>
      <c r="V43" s="2">
        <v>1</v>
      </c>
      <c r="W43" s="2" t="s">
        <v>990</v>
      </c>
      <c r="X43" s="123" t="str">
        <f>_xlfn.XLOOKUP(MTBF_pareto[[#This Row],[AIR]],AIR_dump[Number],AIR_dump[Amb Work notes],"not on amb list",0)</f>
        <v xml:space="preserve">2503.3 13:44:49 - Isaac Castanedo Guerra (Amb Work notes)
No occs since the swap. All is in AIR. To removed from this list.
2452.2 15:17:02 - Shravan Rajagopalan (Amb Work notes)
wk51.3: PSU swapped. Monitoring, stock to be flushed"
wk50.3: PSU still not swapped. 
wk49.5: Request to swap PSU ongoing for AJ99
Wk48.3: Child AIR P835747 to be delivered in wk51.5 on SP38. RC failures on PSU still pending investigation
"wk48: Intake ongoing.
</v>
      </c>
    </row>
    <row r="44" spans="1:24">
      <c r="A44" s="170" t="s">
        <v>994</v>
      </c>
      <c r="B44" s="170" t="str">
        <f>_xlfn.XLOOKUP(C44,Errorlog_table[AIR],Errorlog_table[Root_Error],"not found",0,-1)</f>
        <v>not found</v>
      </c>
      <c r="C44" s="3" t="s">
        <v>1053</v>
      </c>
      <c r="D44" s="3" t="str">
        <f>_xlfn.XLOOKUP(MTBF_pareto[[#This Row],[AIR]],AIR_dump[Number],AIR_dump[Project lead],"N/A",0)</f>
        <v>GBLA</v>
      </c>
      <c r="E44"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44"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44"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44" s="123" t="str">
        <f>_xlfn.XLOOKUP(C44,Errorlog_table[AIR],Errorlog_table[Description],"not found",0,-1)</f>
        <v>not found</v>
      </c>
      <c r="I44" s="123" t="s">
        <v>1054</v>
      </c>
      <c r="J44"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44"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44"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44"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44" s="2">
        <f>MTBF_pareto[[#This Row],[Main Customer]]+MTBF_pareto[[#This Row],[Other Customer1]]+MTBF_pareto[[#This Row],[Other Customer2]]</f>
        <v>0</v>
      </c>
      <c r="O44" s="2">
        <f>IF(MTBF_pareto[[#This Row],[Status]]="Solved",MTBF_pareto[[#This Row],[Downtime solved]],IF(MTBF_pareto[[#This Row],[Status]]="Open",MTBF_pareto[[#This Row],[Downtime open]],MTBF_pareto[[#This Row],[Downtime planned]]))</f>
        <v>0</v>
      </c>
      <c r="P44" s="123" t="str" cm="1">
        <f t="array" ref="P44">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44" s="131" t="str" cm="1">
        <f t="array" ref="Q44">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44" s="2">
        <f>COUNTIFS(Errorlog_table[AIR],MTBF_pareto[[#This Row],[AIR]],Errorlog_table[P_Hits],"Y",Errorlog_table[Year_Week_Number],"&gt;="&amp;$K$3,Errorlog_table[Year_Week_Number],"&lt;="&amp;$C$4)</f>
        <v>0</v>
      </c>
      <c r="S44" s="2">
        <f>COUNTIFS(Errorlog_table[AIR],MTBF_pareto[[#This Row],[AIR]],Errorlog_table[U_Hits],"Y",Errorlog_table[Year_Week_Number],"&gt;="&amp;$K$3,Errorlog_table[Year_Week_Number],"&lt;="&amp;$C$4)</f>
        <v>0</v>
      </c>
      <c r="T44" s="2">
        <f>COUNTIFS(Errorlog_table[AIR],MTBF_pareto[[#This Row],[AIR]],Errorlog_table[P_Hits],"Y",Errorlog_table[Year_Week_Number],"&gt;="&amp;$K$3,Errorlog_table[Year_Week_Number],"&lt;="&amp;$C$4,Errorlog_table[System],$K$1)</f>
        <v>0</v>
      </c>
      <c r="U44" s="2">
        <f>COUNTIFS(Errorlog_table[AIR],MTBF_pareto[[#This Row],[AIR]],Errorlog_table[U_Hits],"Y",Errorlog_table[Year_Week_Number],"&gt;="&amp;$K$3,Errorlog_table[Year_Week_Number],"&lt;="&amp;$C$4,Errorlog_table[System],$K$1)</f>
        <v>0</v>
      </c>
      <c r="V44" s="2">
        <v>3</v>
      </c>
      <c r="W44" s="2" t="s">
        <v>581</v>
      </c>
      <c r="X44" s="123" t="str">
        <f>_xlfn.XLOOKUP(MTBF_pareto[[#This Row],[AIR]],AIR_dump[Number],AIR_dump[Amb Work notes],"not on amb list",0)</f>
        <v xml:space="preserve">2503.3 14:01:40 - Isaac Castanedo Guerra (Amb Work notes)
Traces to be collected by local team when issue re-occurs.
2452.2 14:59:34 - Shravan Rajagopalan (Amb Work notes)
Wk50: Intake ongoing
</v>
      </c>
    </row>
    <row r="45" spans="1:24" hidden="1">
      <c r="A45" s="170" t="s">
        <v>988</v>
      </c>
      <c r="B45" s="170" t="str">
        <f>_xlfn.XLOOKUP(C45,Errorlog_table[AIR],Errorlog_table[Root_Error],"not found",0,-1)</f>
        <v>not found</v>
      </c>
      <c r="C45" s="15" t="s">
        <v>1055</v>
      </c>
      <c r="D45" s="15" t="str">
        <f>_xlfn.XLOOKUP(MTBF_pareto[[#This Row],[AIR]],AIR_dump[Number],AIR_dump[Project lead],"N/A",0)</f>
        <v>ESTO</v>
      </c>
      <c r="E45"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45"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45"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45" s="123" t="str">
        <f>_xlfn.XLOOKUP(C45,Errorlog_table[AIR],Errorlog_table[Description],"not found",0,-1)</f>
        <v>not found</v>
      </c>
      <c r="I45" s="123" t="s">
        <v>1056</v>
      </c>
      <c r="J45"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45"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45"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45"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45" s="2">
        <f>MTBF_pareto[[#This Row],[Main Customer]]+MTBF_pareto[[#This Row],[Other Customer1]]+MTBF_pareto[[#This Row],[Other Customer2]]</f>
        <v>0</v>
      </c>
      <c r="O45" s="2">
        <f>IF(MTBF_pareto[[#This Row],[Status]]="Solved",MTBF_pareto[[#This Row],[Downtime solved]],IF(MTBF_pareto[[#This Row],[Status]]="Open",MTBF_pareto[[#This Row],[Downtime open]],MTBF_pareto[[#This Row],[Downtime planned]]))</f>
        <v>0</v>
      </c>
      <c r="P45" s="123" t="str" cm="1">
        <f t="array" ref="P45">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45" s="131" t="str" cm="1">
        <f t="array" ref="Q45">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45" s="2">
        <f>COUNTIFS(Errorlog_table[AIR],MTBF_pareto[[#This Row],[AIR]],Errorlog_table[P_Hits],"Y",Errorlog_table[Year_Week_Number],"&gt;="&amp;$K$3,Errorlog_table[Year_Week_Number],"&lt;="&amp;$C$4)</f>
        <v>0</v>
      </c>
      <c r="S45" s="2">
        <f>COUNTIFS(Errorlog_table[AIR],MTBF_pareto[[#This Row],[AIR]],Errorlog_table[U_Hits],"Y",Errorlog_table[Year_Week_Number],"&gt;="&amp;$K$3,Errorlog_table[Year_Week_Number],"&lt;="&amp;$C$4)</f>
        <v>0</v>
      </c>
      <c r="T45" s="2">
        <f>COUNTIFS(Errorlog_table[AIR],MTBF_pareto[[#This Row],[AIR]],Errorlog_table[P_Hits],"Y",Errorlog_table[Year_Week_Number],"&gt;="&amp;$K$3,Errorlog_table[Year_Week_Number],"&lt;="&amp;$C$4,Errorlog_table[System],$K$1)</f>
        <v>0</v>
      </c>
      <c r="U45" s="2">
        <f>COUNTIFS(Errorlog_table[AIR],MTBF_pareto[[#This Row],[AIR]],Errorlog_table[U_Hits],"Y",Errorlog_table[Year_Week_Number],"&gt;="&amp;$K$3,Errorlog_table[Year_Week_Number],"&lt;="&amp;$C$4,Errorlog_table[System],$K$1)</f>
        <v>0</v>
      </c>
      <c r="V45" s="2">
        <v>3</v>
      </c>
      <c r="W45" s="2" t="s">
        <v>581</v>
      </c>
      <c r="X45" s="123" t="str">
        <f>_xlfn.XLOOKUP(MTBF_pareto[[#This Row],[AIR]],AIR_dump[Number],AIR_dump[Amb Work notes],"not on amb list",0)</f>
        <v xml:space="preserve">2502.3 14:54:30 - Shravan Rajagopalan (Amb Work notes)
HSI has not been installed on BTR4 yet. Comeback on test status.
2452.2 14:53:41 - Shravan Rajagopalan (Amb Work notes)
wk50.3: HOI wk2506 still on track "
wk50.3: HOI wk2506 still on track "
wk48.3: Issue likely to be related to Jitter in PADC. Need to test further on testbench . Potential to have solution HOI wk2506
"wk40.3: 2x hits seen on sept 11th and 1x sept 1st. Expecting phased delivery (splitting Prodrive firmware vs MPAC/PAAC). Root cause understood, fix under testing. Internel test ready expected wk41.5, external release expected wk44. Planning wk41.3
wk42.3 Test OK, planned for next HSI. Planned for wk44 --&gt; Planning NOK, to be validated if on track for customer delivery in wk44
wk43.3: Expect to handover HSI to WS by wk43.5. 
wk44.5 Patch delivered to WS. Now waiting for HSI integration. On track for QBL delivery wk46.4 and customer wk47.3
wk46.3: 9k patch creation unsuccesful. Delay of 2 weeks at least. JTEN to give UID to to test on BTR4. 
wk47.3: Solution direction still unclear. Expect to have solution only in 25Q1. Comeback on test results in wk48
</v>
      </c>
    </row>
    <row r="46" spans="1:24">
      <c r="A46" s="170" t="s">
        <v>994</v>
      </c>
      <c r="B46" s="180" t="str">
        <f>_xlfn.XLOOKUP(C46,Errorlog_table[AIR],Errorlog_table[Root_Error],"not found",0,-1)</f>
        <v>not found</v>
      </c>
      <c r="C46" s="15" t="s">
        <v>1057</v>
      </c>
      <c r="D46" s="68" t="str">
        <f>_xlfn.XLOOKUP(MTBF_pareto[[#This Row],[AIR]],AIR_dump[Number],AIR_dump[Project lead],"N/A",0)</f>
        <v>REMG</v>
      </c>
      <c r="E46" s="14">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46"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46"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46" s="123" t="str">
        <f>_xlfn.XLOOKUP(C46,Errorlog_table[AIR],Errorlog_table[Description],"not found",0,-1)</f>
        <v>not found</v>
      </c>
      <c r="I46" s="123" t="s">
        <v>1058</v>
      </c>
      <c r="J46"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46"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46"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46"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46" s="2">
        <f>MTBF_pareto[[#This Row],[Main Customer]]+MTBF_pareto[[#This Row],[Other Customer1]]+MTBF_pareto[[#This Row],[Other Customer2]]</f>
        <v>0</v>
      </c>
      <c r="O46" s="2">
        <f>IF(MTBF_pareto[[#This Row],[Status]]="Solved",MTBF_pareto[[#This Row],[Downtime solved]],IF(MTBF_pareto[[#This Row],[Status]]="Open",MTBF_pareto[[#This Row],[Downtime open]],MTBF_pareto[[#This Row],[Downtime planned]]))</f>
        <v>0</v>
      </c>
      <c r="P46" s="123" t="str" cm="1">
        <f t="array" ref="P46">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46" s="131" t="str" cm="1">
        <f t="array" ref="Q46">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46" s="2">
        <f>COUNTIFS(Errorlog_table[AIR],MTBF_pareto[[#This Row],[AIR]],Errorlog_table[P_Hits],"Y",Errorlog_table[Year_Week_Number],"&gt;="&amp;$K$3,Errorlog_table[Year_Week_Number],"&lt;="&amp;$C$4)</f>
        <v>0</v>
      </c>
      <c r="S46" s="2">
        <f>COUNTIFS(Errorlog_table[AIR],MTBF_pareto[[#This Row],[AIR]],Errorlog_table[U_Hits],"Y",Errorlog_table[Year_Week_Number],"&gt;="&amp;$K$3,Errorlog_table[Year_Week_Number],"&lt;="&amp;$C$4)</f>
        <v>0</v>
      </c>
      <c r="T46" s="2">
        <f>COUNTIFS(Errorlog_table[AIR],MTBF_pareto[[#This Row],[AIR]],Errorlog_table[P_Hits],"Y",Errorlog_table[Year_Week_Number],"&gt;="&amp;$K$3,Errorlog_table[Year_Week_Number],"&lt;="&amp;$C$4,Errorlog_table[System],$K$1)</f>
        <v>0</v>
      </c>
      <c r="U46" s="2">
        <f>COUNTIFS(Errorlog_table[AIR],MTBF_pareto[[#This Row],[AIR]],Errorlog_table[U_Hits],"Y",Errorlog_table[Year_Week_Number],"&gt;="&amp;$K$3,Errorlog_table[Year_Week_Number],"&lt;="&amp;$C$4,Errorlog_table[System],$K$1)</f>
        <v>0</v>
      </c>
      <c r="V46" s="2">
        <v>3</v>
      </c>
      <c r="W46" s="2" t="s">
        <v>581</v>
      </c>
      <c r="X46" s="123" t="str">
        <f>_xlfn.XLOOKUP(MTBF_pareto[[#This Row],[AIR]],AIR_dump[Number],AIR_dump[Amb Work notes],"not on amb list",0)</f>
        <v xml:space="preserve">2503.3 13:23:15 - Isaac Castanedo Guerra (Amb Work notes)
Intake do be done. Come back wk4.3
2452.2 14:41:07 - Shravan Rajagopalan (Amb Work notes)
"Wk49: Intake ongoing
wk49.3: IRM intake ongoing. RC to be clarified if ownership is DC or SRC performance
wk50.3: Ownership stays with DC. Could be linked to a potential known issue "
</v>
      </c>
    </row>
    <row r="47" spans="1:24" hidden="1">
      <c r="A47" s="170" t="s">
        <v>988</v>
      </c>
      <c r="B47" s="176" t="str">
        <f>_xlfn.XLOOKUP(C47,Errorlog_table[AIR],Errorlog_table[Root_Error],"not found",0,-1)</f>
        <v>not found</v>
      </c>
      <c r="C47" s="68" t="s">
        <v>1059</v>
      </c>
      <c r="D47" s="68" t="str">
        <f>_xlfn.XLOOKUP(MTBF_pareto[[#This Row],[AIR]],AIR_dump[Number],AIR_dump[Project lead],"N/A",0)</f>
        <v>N/A</v>
      </c>
      <c r="E47" s="15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47"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47"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47" s="133" t="str">
        <f>_xlfn.XLOOKUP(C47,Errorlog_table[AIR],Errorlog_table[Description],"not found",0,-1)</f>
        <v>not found</v>
      </c>
      <c r="I47" s="123" t="s">
        <v>1060</v>
      </c>
      <c r="J47"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47"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47"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47"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47" s="130">
        <f>MTBF_pareto[[#This Row],[Main Customer]]+MTBF_pareto[[#This Row],[Other Customer1]]+MTBF_pareto[[#This Row],[Other Customer2]]</f>
        <v>0</v>
      </c>
      <c r="O47" s="130">
        <f>IF(MTBF_pareto[[#This Row],[Status]]="Solved",MTBF_pareto[[#This Row],[Downtime solved]],IF(MTBF_pareto[[#This Row],[Status]]="Open",MTBF_pareto[[#This Row],[Downtime open]],MTBF_pareto[[#This Row],[Downtime planned]]))</f>
        <v>0</v>
      </c>
      <c r="P47" s="133" t="str" cm="1">
        <f t="array" ref="P47">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47" s="134" t="str" cm="1">
        <f t="array" ref="Q47">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47" s="2">
        <f>COUNTIFS(Errorlog_table[AIR],MTBF_pareto[[#This Row],[AIR]],Errorlog_table[P_Hits],"Y",Errorlog_table[Year_Week_Number],"&gt;="&amp;$K$3,Errorlog_table[Year_Week_Number],"&lt;="&amp;$C$4)</f>
        <v>0</v>
      </c>
      <c r="S47" s="2">
        <f>COUNTIFS(Errorlog_table[AIR],MTBF_pareto[[#This Row],[AIR]],Errorlog_table[U_Hits],"Y",Errorlog_table[Year_Week_Number],"&gt;="&amp;$K$3,Errorlog_table[Year_Week_Number],"&lt;="&amp;$C$4)</f>
        <v>0</v>
      </c>
      <c r="T47" s="2">
        <f>COUNTIFS(Errorlog_table[AIR],MTBF_pareto[[#This Row],[AIR]],Errorlog_table[P_Hits],"Y",Errorlog_table[Year_Week_Number],"&gt;="&amp;$K$3,Errorlog_table[Year_Week_Number],"&lt;="&amp;$C$4,Errorlog_table[System],$K$1)</f>
        <v>0</v>
      </c>
      <c r="U47" s="2">
        <f>COUNTIFS(Errorlog_table[AIR],MTBF_pareto[[#This Row],[AIR]],Errorlog_table[U_Hits],"Y",Errorlog_table[Year_Week_Number],"&gt;="&amp;$K$3,Errorlog_table[Year_Week_Number],"&lt;="&amp;$C$4,Errorlog_table[System],$K$1)</f>
        <v>0</v>
      </c>
      <c r="V47" s="2">
        <v>3</v>
      </c>
      <c r="W47" s="2" t="s">
        <v>581</v>
      </c>
      <c r="X47" s="123" t="str">
        <f>_xlfn.XLOOKUP(MTBF_pareto[[#This Row],[AIR]],AIR_dump[Number],AIR_dump[Amb Work notes],"not on amb list",0)</f>
        <v>not on amb list</v>
      </c>
    </row>
    <row r="48" spans="1:24">
      <c r="A48" s="170" t="s">
        <v>994</v>
      </c>
      <c r="B48" s="176" t="str">
        <f>_xlfn.XLOOKUP(C48,Errorlog_table[AIR],Errorlog_table[Root_Error],"not found",0,-1)</f>
        <v>not found</v>
      </c>
      <c r="C48" s="68" t="s">
        <v>1061</v>
      </c>
      <c r="D48" s="15" t="str">
        <f>_xlfn.XLOOKUP(MTBF_pareto[[#This Row],[AIR]],AIR_dump[Number],AIR_dump[Project lead],"N/A",0)</f>
        <v>NDRI</v>
      </c>
      <c r="E48"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48"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48"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48" s="123" t="str">
        <f>_xlfn.XLOOKUP(C48,Errorlog_table[AIR],Errorlog_table[Description],"not found",0,-1)</f>
        <v>not found</v>
      </c>
      <c r="I48" s="123" t="s">
        <v>1013</v>
      </c>
      <c r="J48"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48"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48"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48"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48" s="2">
        <f>MTBF_pareto[[#This Row],[Main Customer]]+MTBF_pareto[[#This Row],[Other Customer1]]+MTBF_pareto[[#This Row],[Other Customer2]]</f>
        <v>0</v>
      </c>
      <c r="O48" s="2">
        <f>IF(MTBF_pareto[[#This Row],[Status]]="Solved",MTBF_pareto[[#This Row],[Downtime solved]],IF(MTBF_pareto[[#This Row],[Status]]="Open",MTBF_pareto[[#This Row],[Downtime open]],MTBF_pareto[[#This Row],[Downtime planned]]))</f>
        <v>0</v>
      </c>
      <c r="P48" s="123" t="str" cm="1">
        <f t="array" ref="P48">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48" s="131" t="str" cm="1">
        <f t="array" ref="Q48">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48" s="2">
        <f>COUNTIFS(Errorlog_table[AIR],MTBF_pareto[[#This Row],[AIR]],Errorlog_table[P_Hits],"Y",Errorlog_table[Year_Week_Number],"&gt;="&amp;$K$3,Errorlog_table[Year_Week_Number],"&lt;="&amp;$C$4)</f>
        <v>0</v>
      </c>
      <c r="S48" s="2">
        <f>COUNTIFS(Errorlog_table[AIR],MTBF_pareto[[#This Row],[AIR]],Errorlog_table[U_Hits],"Y",Errorlog_table[Year_Week_Number],"&gt;="&amp;$K$3,Errorlog_table[Year_Week_Number],"&lt;="&amp;$C$4)</f>
        <v>0</v>
      </c>
      <c r="T48" s="2">
        <f>COUNTIFS(Errorlog_table[AIR],MTBF_pareto[[#This Row],[AIR]],Errorlog_table[P_Hits],"Y",Errorlog_table[Year_Week_Number],"&gt;="&amp;$K$3,Errorlog_table[Year_Week_Number],"&lt;="&amp;$C$4,Errorlog_table[System],$K$1)</f>
        <v>0</v>
      </c>
      <c r="U48" s="2">
        <f>COUNTIFS(Errorlog_table[AIR],MTBF_pareto[[#This Row],[AIR]],Errorlog_table[U_Hits],"Y",Errorlog_table[Year_Week_Number],"&gt;="&amp;$K$3,Errorlog_table[Year_Week_Number],"&lt;="&amp;$C$4,Errorlog_table[System],$K$1)</f>
        <v>0</v>
      </c>
      <c r="V48" s="2">
        <v>3</v>
      </c>
      <c r="W48" s="2" t="s">
        <v>581</v>
      </c>
      <c r="X48" s="123" t="str">
        <f>_xlfn.XLOOKUP(MTBF_pareto[[#This Row],[AIR]],AIR_dump[Number],AIR_dump[Amb Work notes],"not on amb list",0)</f>
        <v xml:space="preserve">2503.3 14:12:33 - Isaac Castanedo Guerra (Amb Work notes)
Handshake to be done with FC-72
2502.5 13:19:30 - Shravan Rajagopalan (Amb Work notes)
Issue seen during MX action. Comeback in wk03.3
2452.2 14:32:15 - Shravan Rajagopalan (Amb Work notes)
Wk51: New issue. Intake ongoing
</v>
      </c>
    </row>
    <row r="49" spans="1:24" hidden="1">
      <c r="A49" s="170" t="s">
        <v>988</v>
      </c>
      <c r="B49" s="176" t="str">
        <f>_xlfn.XLOOKUP(C49,Errorlog_table[AIR],Errorlog_table[Root_Error],"not found",0,-1)</f>
        <v>not found</v>
      </c>
      <c r="C49" s="27" t="s">
        <v>1062</v>
      </c>
      <c r="D49" s="3" t="str">
        <f>_xlfn.XLOOKUP(MTBF_pareto[[#This Row],[AIR]],AIR_dump[Number],AIR_dump[Project lead],"N/A",0)</f>
        <v>THID</v>
      </c>
      <c r="E49"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49"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49"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49" s="123" t="str">
        <f>_xlfn.XLOOKUP(C49,Errorlog_table[AIR],Errorlog_table[Description],"not found",0,-1)</f>
        <v>not found</v>
      </c>
      <c r="I49" s="123" t="s">
        <v>1063</v>
      </c>
      <c r="J49"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49"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49"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49"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49" s="2">
        <f>MTBF_pareto[[#This Row],[Main Customer]]+MTBF_pareto[[#This Row],[Other Customer1]]+MTBF_pareto[[#This Row],[Other Customer2]]</f>
        <v>0</v>
      </c>
      <c r="O49" s="2">
        <f>IF(MTBF_pareto[[#This Row],[Status]]="Solved",MTBF_pareto[[#This Row],[Downtime solved]],IF(MTBF_pareto[[#This Row],[Status]]="Open",MTBF_pareto[[#This Row],[Downtime open]],MTBF_pareto[[#This Row],[Downtime planned]]))</f>
        <v>0</v>
      </c>
      <c r="P49" s="123" t="str" cm="1">
        <f t="array" ref="P49">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49" s="131" t="str" cm="1">
        <f t="array" ref="Q49">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49" s="2">
        <f>COUNTIFS(Errorlog_table[AIR],MTBF_pareto[[#This Row],[AIR]],Errorlog_table[P_Hits],"Y",Errorlog_table[Year_Week_Number],"&gt;="&amp;$K$3,Errorlog_table[Year_Week_Number],"&lt;="&amp;$C$4)</f>
        <v>0</v>
      </c>
      <c r="S49" s="2">
        <f>COUNTIFS(Errorlog_table[AIR],MTBF_pareto[[#This Row],[AIR]],Errorlog_table[U_Hits],"Y",Errorlog_table[Year_Week_Number],"&gt;="&amp;$K$3,Errorlog_table[Year_Week_Number],"&lt;="&amp;$C$4)</f>
        <v>0</v>
      </c>
      <c r="T49" s="2">
        <f>COUNTIFS(Errorlog_table[AIR],MTBF_pareto[[#This Row],[AIR]],Errorlog_table[P_Hits],"Y",Errorlog_table[Year_Week_Number],"&gt;="&amp;$K$3,Errorlog_table[Year_Week_Number],"&lt;="&amp;$C$4,Errorlog_table[System],$K$1)</f>
        <v>0</v>
      </c>
      <c r="U49" s="2">
        <f>COUNTIFS(Errorlog_table[AIR],MTBF_pareto[[#This Row],[AIR]],Errorlog_table[U_Hits],"Y",Errorlog_table[Year_Week_Number],"&gt;="&amp;$K$3,Errorlog_table[Year_Week_Number],"&lt;="&amp;$C$4,Errorlog_table[System],$K$1)</f>
        <v>0</v>
      </c>
      <c r="V49" s="2">
        <v>3</v>
      </c>
      <c r="W49" s="2" t="s">
        <v>581</v>
      </c>
      <c r="X49" s="123" t="str">
        <f>_xlfn.XLOOKUP(MTBF_pareto[[#This Row],[AIR]],AIR_dump[Number],AIR_dump[Amb Work notes],"not on amb list",0)</f>
        <v/>
      </c>
    </row>
    <row r="50" spans="1:24">
      <c r="A50" s="170" t="s">
        <v>994</v>
      </c>
      <c r="B50" s="176" t="str">
        <f>_xlfn.XLOOKUP(C50,Errorlog_table[AIR],Errorlog_table[Root_Error],"not found",0,-1)</f>
        <v>not found</v>
      </c>
      <c r="C50" s="68" t="s">
        <v>1064</v>
      </c>
      <c r="D50" s="15" t="str">
        <f>_xlfn.XLOOKUP(MTBF_pareto[[#This Row],[AIR]],AIR_dump[Number],AIR_dump[Project lead],"N/A",0)</f>
        <v>N/A</v>
      </c>
      <c r="E50"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50"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50"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50" s="123" t="str">
        <f>_xlfn.XLOOKUP(C50,Errorlog_table[AIR],Errorlog_table[Description],"not found",0,-1)</f>
        <v>not found</v>
      </c>
      <c r="I50" s="123" t="s">
        <v>1023</v>
      </c>
      <c r="J50"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50"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50"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50"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50" s="2">
        <f>MTBF_pareto[[#This Row],[Main Customer]]+MTBF_pareto[[#This Row],[Other Customer1]]+MTBF_pareto[[#This Row],[Other Customer2]]</f>
        <v>0</v>
      </c>
      <c r="O50" s="2">
        <f>IF(MTBF_pareto[[#This Row],[Status]]="Solved",MTBF_pareto[[#This Row],[Downtime solved]],IF(MTBF_pareto[[#This Row],[Status]]="Open",MTBF_pareto[[#This Row],[Downtime open]],MTBF_pareto[[#This Row],[Downtime planned]]))</f>
        <v>0</v>
      </c>
      <c r="P50" s="123" t="str" cm="1">
        <f t="array" ref="P50">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50" s="131" t="str" cm="1">
        <f t="array" ref="Q50">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50" s="2">
        <f>COUNTIFS(Errorlog_table[AIR],MTBF_pareto[[#This Row],[AIR]],Errorlog_table[P_Hits],"Y",Errorlog_table[Year_Week_Number],"&gt;="&amp;$K$3,Errorlog_table[Year_Week_Number],"&lt;="&amp;$C$4)</f>
        <v>0</v>
      </c>
      <c r="S50" s="2">
        <f>COUNTIFS(Errorlog_table[AIR],MTBF_pareto[[#This Row],[AIR]],Errorlog_table[U_Hits],"Y",Errorlog_table[Year_Week_Number],"&gt;="&amp;$K$3,Errorlog_table[Year_Week_Number],"&lt;="&amp;$C$4)</f>
        <v>0</v>
      </c>
      <c r="T50" s="2">
        <f>COUNTIFS(Errorlog_table[AIR],MTBF_pareto[[#This Row],[AIR]],Errorlog_table[P_Hits],"Y",Errorlog_table[Year_Week_Number],"&gt;="&amp;$K$3,Errorlog_table[Year_Week_Number],"&lt;="&amp;$C$4,Errorlog_table[System],$K$1)</f>
        <v>0</v>
      </c>
      <c r="U50" s="2">
        <f>COUNTIFS(Errorlog_table[AIR],MTBF_pareto[[#This Row],[AIR]],Errorlog_table[U_Hits],"Y",Errorlog_table[Year_Week_Number],"&gt;="&amp;$K$3,Errorlog_table[Year_Week_Number],"&lt;="&amp;$C$4,Errorlog_table[System],$K$1)</f>
        <v>0</v>
      </c>
      <c r="V50" s="2">
        <v>3</v>
      </c>
      <c r="W50" s="2" t="s">
        <v>581</v>
      </c>
      <c r="X50" s="123" t="str">
        <f>_xlfn.XLOOKUP(MTBF_pareto[[#This Row],[AIR]],AIR_dump[Number],AIR_dump[Amb Work notes],"not on amb list",0)</f>
        <v>not on amb list</v>
      </c>
    </row>
    <row r="51" spans="1:24">
      <c r="A51" s="170" t="s">
        <v>994</v>
      </c>
      <c r="B51" s="176" t="str">
        <f>_xlfn.XLOOKUP(C51,Errorlog_table[AIR],Errorlog_table[Root_Error],"not found",0,-1)</f>
        <v>not found</v>
      </c>
      <c r="C51" s="68" t="s">
        <v>1065</v>
      </c>
      <c r="D51" s="15" t="str">
        <f>_xlfn.XLOOKUP(MTBF_pareto[[#This Row],[AIR]],AIR_dump[Number],AIR_dump[Project lead],"N/A",0)</f>
        <v>ESTO</v>
      </c>
      <c r="E51"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51"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51"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51" s="123" t="str">
        <f>_xlfn.XLOOKUP(C51,Errorlog_table[AIR],Errorlog_table[Description],"not found",0,-1)</f>
        <v>not found</v>
      </c>
      <c r="I51" s="123" t="s">
        <v>1066</v>
      </c>
      <c r="J51"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51"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51"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51"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51" s="2">
        <f>MTBF_pareto[[#This Row],[Main Customer]]+MTBF_pareto[[#This Row],[Other Customer1]]+MTBF_pareto[[#This Row],[Other Customer2]]</f>
        <v>0</v>
      </c>
      <c r="O51" s="2">
        <f>IF(MTBF_pareto[[#This Row],[Status]]="Solved",MTBF_pareto[[#This Row],[Downtime solved]],IF(MTBF_pareto[[#This Row],[Status]]="Open",MTBF_pareto[[#This Row],[Downtime open]],MTBF_pareto[[#This Row],[Downtime planned]]))</f>
        <v>0</v>
      </c>
      <c r="P51" s="123" t="str" cm="1">
        <f t="array" ref="P51">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51" s="131" t="str" cm="1">
        <f t="array" ref="Q51">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51" s="2">
        <f>COUNTIFS(Errorlog_table[AIR],MTBF_pareto[[#This Row],[AIR]],Errorlog_table[P_Hits],"Y",Errorlog_table[Year_Week_Number],"&gt;="&amp;$K$3,Errorlog_table[Year_Week_Number],"&lt;="&amp;$C$4)</f>
        <v>0</v>
      </c>
      <c r="S51" s="2">
        <f>COUNTIFS(Errorlog_table[AIR],MTBF_pareto[[#This Row],[AIR]],Errorlog_table[U_Hits],"Y",Errorlog_table[Year_Week_Number],"&gt;="&amp;$K$3,Errorlog_table[Year_Week_Number],"&lt;="&amp;$C$4)</f>
        <v>0</v>
      </c>
      <c r="T51" s="2">
        <f>COUNTIFS(Errorlog_table[AIR],MTBF_pareto[[#This Row],[AIR]],Errorlog_table[P_Hits],"Y",Errorlog_table[Year_Week_Number],"&gt;="&amp;$K$3,Errorlog_table[Year_Week_Number],"&lt;="&amp;$C$4,Errorlog_table[System],$K$1)</f>
        <v>0</v>
      </c>
      <c r="U51" s="2">
        <f>COUNTIFS(Errorlog_table[AIR],MTBF_pareto[[#This Row],[AIR]],Errorlog_table[U_Hits],"Y",Errorlog_table[Year_Week_Number],"&gt;="&amp;$K$3,Errorlog_table[Year_Week_Number],"&lt;="&amp;$C$4,Errorlog_table[System],$K$1)</f>
        <v>0</v>
      </c>
      <c r="V51" s="2">
        <v>3</v>
      </c>
      <c r="W51" s="2" t="s">
        <v>581</v>
      </c>
      <c r="X51" s="123" t="str">
        <f>_xlfn.XLOOKUP(MTBF_pareto[[#This Row],[AIR]],AIR_dump[Number],AIR_dump[Amb Work notes],"not on amb list",0)</f>
        <v/>
      </c>
    </row>
    <row r="52" spans="1:24" hidden="1">
      <c r="A52" s="170" t="s">
        <v>988</v>
      </c>
      <c r="B52" s="176" t="str">
        <f>_xlfn.XLOOKUP(C52,Errorlog_table[AIR],Errorlog_table[Root_Error],"not found",0,-1)</f>
        <v>not found</v>
      </c>
      <c r="C52" s="68" t="s">
        <v>1067</v>
      </c>
      <c r="D52" s="15" t="str">
        <f>_xlfn.XLOOKUP(MTBF_pareto[[#This Row],[AIR]],AIR_dump[Number],AIR_dump[Project lead],"N/A",0)</f>
        <v>THID</v>
      </c>
      <c r="E52"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52"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52"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52" s="123" t="str">
        <f>_xlfn.XLOOKUP(C52,Errorlog_table[AIR],Errorlog_table[Description],"not found",0,-1)</f>
        <v>not found</v>
      </c>
      <c r="I52" s="123" t="s">
        <v>1068</v>
      </c>
      <c r="J52"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52"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52"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52"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52" s="2">
        <f>MTBF_pareto[[#This Row],[Main Customer]]+MTBF_pareto[[#This Row],[Other Customer1]]+MTBF_pareto[[#This Row],[Other Customer2]]</f>
        <v>0</v>
      </c>
      <c r="O52" s="2">
        <f>IF(MTBF_pareto[[#This Row],[Status]]="Solved",MTBF_pareto[[#This Row],[Downtime solved]],IF(MTBF_pareto[[#This Row],[Status]]="Open",MTBF_pareto[[#This Row],[Downtime open]],MTBF_pareto[[#This Row],[Downtime planned]]))</f>
        <v>0</v>
      </c>
      <c r="P52" s="123" t="str" cm="1">
        <f t="array" ref="P52">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52" s="131" t="str" cm="1">
        <f t="array" ref="Q52">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52" s="2">
        <f>COUNTIFS(Errorlog_table[AIR],MTBF_pareto[[#This Row],[AIR]],Errorlog_table[P_Hits],"Y",Errorlog_table[Year_Week_Number],"&gt;="&amp;$K$3,Errorlog_table[Year_Week_Number],"&lt;="&amp;$C$4)</f>
        <v>0</v>
      </c>
      <c r="S52" s="2">
        <f>COUNTIFS(Errorlog_table[AIR],MTBF_pareto[[#This Row],[AIR]],Errorlog_table[U_Hits],"Y",Errorlog_table[Year_Week_Number],"&gt;="&amp;$K$3,Errorlog_table[Year_Week_Number],"&lt;="&amp;$C$4)</f>
        <v>0</v>
      </c>
      <c r="T52" s="2">
        <f>COUNTIFS(Errorlog_table[AIR],MTBF_pareto[[#This Row],[AIR]],Errorlog_table[P_Hits],"Y",Errorlog_table[Year_Week_Number],"&gt;="&amp;$K$3,Errorlog_table[Year_Week_Number],"&lt;="&amp;$C$4,Errorlog_table[System],$K$1)</f>
        <v>0</v>
      </c>
      <c r="U52" s="2">
        <f>COUNTIFS(Errorlog_table[AIR],MTBF_pareto[[#This Row],[AIR]],Errorlog_table[U_Hits],"Y",Errorlog_table[Year_Week_Number],"&gt;="&amp;$K$3,Errorlog_table[Year_Week_Number],"&lt;="&amp;$C$4,Errorlog_table[System],$K$1)</f>
        <v>0</v>
      </c>
      <c r="V52" s="2"/>
      <c r="W52" s="2" t="s">
        <v>581</v>
      </c>
      <c r="X52" s="123" t="str">
        <f>_xlfn.XLOOKUP(MTBF_pareto[[#This Row],[AIR]],AIR_dump[Number],AIR_dump[Amb Work notes],"not on amb list",0)</f>
        <v/>
      </c>
    </row>
    <row r="53" spans="1:24" hidden="1">
      <c r="A53" s="170" t="s">
        <v>988</v>
      </c>
      <c r="B53" s="176" t="str">
        <f>_xlfn.XLOOKUP(C53,Errorlog_table[AIR],Errorlog_table[Root_Error],"not found",0,-1)</f>
        <v>not found</v>
      </c>
      <c r="C53" s="68" t="s">
        <v>1069</v>
      </c>
      <c r="D53" s="15" t="str">
        <f>_xlfn.XLOOKUP(MTBF_pareto[[#This Row],[AIR]],AIR_dump[Number],AIR_dump[Project lead],"N/A",0)</f>
        <v>GBLA</v>
      </c>
      <c r="E53"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53"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53"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53" s="133" t="str">
        <f>_xlfn.XLOOKUP(C53,Errorlog_table[AIR],Errorlog_table[Description],"not found",0,-1)</f>
        <v>not found</v>
      </c>
      <c r="I53" s="123" t="s">
        <v>1017</v>
      </c>
      <c r="J53"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53"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53"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53"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53" s="130">
        <f>MTBF_pareto[[#This Row],[Main Customer]]+MTBF_pareto[[#This Row],[Other Customer1]]+MTBF_pareto[[#This Row],[Other Customer2]]</f>
        <v>0</v>
      </c>
      <c r="O53" s="130">
        <f>IF(MTBF_pareto[[#This Row],[Status]]="Solved",MTBF_pareto[[#This Row],[Downtime solved]],IF(MTBF_pareto[[#This Row],[Status]]="Open",MTBF_pareto[[#This Row],[Downtime open]],MTBF_pareto[[#This Row],[Downtime planned]]))</f>
        <v>0</v>
      </c>
      <c r="P53" s="133" t="str" cm="1">
        <f t="array" ref="P53">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53" s="134" t="str" cm="1">
        <f t="array" ref="Q53">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53" s="2">
        <f>COUNTIFS(Errorlog_table[AIR],MTBF_pareto[[#This Row],[AIR]],Errorlog_table[P_Hits],"Y",Errorlog_table[Year_Week_Number],"&gt;="&amp;$K$3,Errorlog_table[Year_Week_Number],"&lt;="&amp;$C$4)</f>
        <v>0</v>
      </c>
      <c r="S53" s="130">
        <f>COUNTIFS(Errorlog_table[AIR],MTBF_pareto[[#This Row],[AIR]],Errorlog_table[U_Hits],"Y",Errorlog_table[Year_Week_Number],"&gt;="&amp;$K$3,Errorlog_table[Year_Week_Number],"&lt;="&amp;$C$4)</f>
        <v>0</v>
      </c>
      <c r="T53" s="130">
        <f>COUNTIFS(Errorlog_table[AIR],MTBF_pareto[[#This Row],[AIR]],Errorlog_table[P_Hits],"Y",Errorlog_table[Year_Week_Number],"&gt;="&amp;$K$3,Errorlog_table[Year_Week_Number],"&lt;="&amp;$C$4,Errorlog_table[System],$K$1)</f>
        <v>0</v>
      </c>
      <c r="U53" s="130">
        <f>COUNTIFS(Errorlog_table[AIR],MTBF_pareto[[#This Row],[AIR]],Errorlog_table[U_Hits],"Y",Errorlog_table[Year_Week_Number],"&gt;="&amp;$K$3,Errorlog_table[Year_Week_Number],"&lt;="&amp;$C$4,Errorlog_table[System],$K$1)</f>
        <v>0</v>
      </c>
      <c r="V53" s="2">
        <v>3</v>
      </c>
      <c r="W53" s="2" t="s">
        <v>581</v>
      </c>
      <c r="X53" s="123" t="str">
        <f>_xlfn.XLOOKUP(MTBF_pareto[[#This Row],[AIR]],AIR_dump[Number],AIR_dump[Amb Work notes],"not on amb list",0)</f>
        <v/>
      </c>
    </row>
    <row r="54" spans="1:24">
      <c r="A54" s="170" t="s">
        <v>994</v>
      </c>
      <c r="B54" s="181" t="str">
        <f>_xlfn.XLOOKUP(C54,Errorlog_table[AIR],Errorlog_table[Root_Error],"not found",0,-1)</f>
        <v>not found</v>
      </c>
      <c r="C54" s="15" t="s">
        <v>1070</v>
      </c>
      <c r="D54" s="15" t="str">
        <f>_xlfn.XLOOKUP(MTBF_pareto[[#This Row],[AIR]],AIR_dump[Number],AIR_dump[Project lead],"N/A",0)</f>
        <v>THID</v>
      </c>
      <c r="E54"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54"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54"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54" s="133" t="str">
        <f>_xlfn.XLOOKUP(C54,Errorlog_table[AIR],Errorlog_table[Description],"not found",0,-1)</f>
        <v>not found</v>
      </c>
      <c r="I54" s="123" t="s">
        <v>1013</v>
      </c>
      <c r="J54"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54"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54"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54"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54" s="130">
        <f>MTBF_pareto[[#This Row],[Main Customer]]+MTBF_pareto[[#This Row],[Other Customer1]]+MTBF_pareto[[#This Row],[Other Customer2]]</f>
        <v>0</v>
      </c>
      <c r="O54" s="130">
        <f>IF(MTBF_pareto[[#This Row],[Status]]="Solved",MTBF_pareto[[#This Row],[Downtime solved]],IF(MTBF_pareto[[#This Row],[Status]]="Open",MTBF_pareto[[#This Row],[Downtime open]],MTBF_pareto[[#This Row],[Downtime planned]]))</f>
        <v>0</v>
      </c>
      <c r="P54" s="133" t="str" cm="1">
        <f t="array" ref="P54">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54" s="134" t="str" cm="1">
        <f t="array" ref="Q54">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54" s="2">
        <f>COUNTIFS(Errorlog_table[AIR],MTBF_pareto[[#This Row],[AIR]],Errorlog_table[P_Hits],"Y",Errorlog_table[Year_Week_Number],"&gt;="&amp;$K$3,Errorlog_table[Year_Week_Number],"&lt;="&amp;$C$4)</f>
        <v>0</v>
      </c>
      <c r="S54" s="130">
        <f>COUNTIFS(Errorlog_table[AIR],MTBF_pareto[[#This Row],[AIR]],Errorlog_table[U_Hits],"Y",Errorlog_table[Year_Week_Number],"&gt;="&amp;$K$3,Errorlog_table[Year_Week_Number],"&lt;="&amp;$C$4)</f>
        <v>0</v>
      </c>
      <c r="T54" s="130">
        <f>COUNTIFS(Errorlog_table[AIR],MTBF_pareto[[#This Row],[AIR]],Errorlog_table[P_Hits],"Y",Errorlog_table[Year_Week_Number],"&gt;="&amp;$K$3,Errorlog_table[Year_Week_Number],"&lt;="&amp;$C$4,Errorlog_table[System],$K$1)</f>
        <v>0</v>
      </c>
      <c r="U54" s="130">
        <f>COUNTIFS(Errorlog_table[AIR],MTBF_pareto[[#This Row],[AIR]],Errorlog_table[U_Hits],"Y",Errorlog_table[Year_Week_Number],"&gt;="&amp;$K$3,Errorlog_table[Year_Week_Number],"&lt;="&amp;$C$4,Errorlog_table[System],$K$1)</f>
        <v>0</v>
      </c>
      <c r="V54" s="2">
        <v>3</v>
      </c>
      <c r="W54" s="2" t="s">
        <v>581</v>
      </c>
      <c r="X54" s="123"/>
    </row>
    <row r="55" spans="1:24" hidden="1">
      <c r="A55" s="170" t="s">
        <v>988</v>
      </c>
      <c r="B55" s="170" t="str">
        <f>_xlfn.XLOOKUP(C55,Errorlog_table[AIR],Errorlog_table[Root_Error],"not found",0,-1)</f>
        <v>not found</v>
      </c>
      <c r="C55" s="15" t="s">
        <v>1071</v>
      </c>
      <c r="D55" s="15" t="str">
        <f>_xlfn.XLOOKUP(MTBF_pareto[[#This Row],[AIR]],AIR_dump[Number],AIR_dump[Project lead],"N/A",0)</f>
        <v>SBFN</v>
      </c>
      <c r="E55"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55"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55"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55" s="123" t="str">
        <f>_xlfn.XLOOKUP(C55,Errorlog_table[AIR],Errorlog_table[Description],"not found",0,-1)</f>
        <v>not found</v>
      </c>
      <c r="I55" s="123" t="s">
        <v>1072</v>
      </c>
      <c r="J55"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55"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55"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55"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55" s="2">
        <f>MTBF_pareto[[#This Row],[Main Customer]]+MTBF_pareto[[#This Row],[Other Customer1]]+MTBF_pareto[[#This Row],[Other Customer2]]</f>
        <v>0</v>
      </c>
      <c r="O55" s="2">
        <f>IF(MTBF_pareto[[#This Row],[Status]]="Solved",MTBF_pareto[[#This Row],[Downtime solved]],IF(MTBF_pareto[[#This Row],[Status]]="Open",MTBF_pareto[[#This Row],[Downtime open]],MTBF_pareto[[#This Row],[Downtime planned]]))</f>
        <v>0</v>
      </c>
      <c r="P55" s="123" t="str" cm="1">
        <f t="array" ref="P55">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55" s="131" t="str" cm="1">
        <f t="array" ref="Q55">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55" s="2">
        <f>COUNTIFS(Errorlog_table[AIR],MTBF_pareto[[#This Row],[AIR]],Errorlog_table[P_Hits],"Y",Errorlog_table[Year_Week_Number],"&gt;="&amp;$K$3,Errorlog_table[Year_Week_Number],"&lt;="&amp;$C$4)</f>
        <v>0</v>
      </c>
      <c r="S55" s="2">
        <f>COUNTIFS(Errorlog_table[AIR],MTBF_pareto[[#This Row],[AIR]],Errorlog_table[U_Hits],"Y",Errorlog_table[Year_Week_Number],"&gt;="&amp;$K$3,Errorlog_table[Year_Week_Number],"&lt;="&amp;$C$4)</f>
        <v>0</v>
      </c>
      <c r="T55" s="2">
        <f>COUNTIFS(Errorlog_table[AIR],MTBF_pareto[[#This Row],[AIR]],Errorlog_table[P_Hits],"Y",Errorlog_table[Year_Week_Number],"&gt;="&amp;$K$3,Errorlog_table[Year_Week_Number],"&lt;="&amp;$C$4,Errorlog_table[System],$K$1)</f>
        <v>0</v>
      </c>
      <c r="U55" s="2">
        <f>COUNTIFS(Errorlog_table[AIR],MTBF_pareto[[#This Row],[AIR]],Errorlog_table[U_Hits],"Y",Errorlog_table[Year_Week_Number],"&gt;="&amp;$K$3,Errorlog_table[Year_Week_Number],"&lt;="&amp;$C$4,Errorlog_table[System],$K$1)</f>
        <v>0</v>
      </c>
      <c r="V55" s="2">
        <v>3</v>
      </c>
      <c r="W55" s="2" t="s">
        <v>990</v>
      </c>
      <c r="X55" s="123" t="str">
        <f>_xlfn.XLOOKUP(MTBF_pareto[[#This Row],[AIR]],AIR_dump[Number],AIR_dump[Amb Work notes],"not on amb list",0)</f>
        <v xml:space="preserve">2452.2 14:38:20 - Shravan Rajagopalan (Amb Work notes)
wk49: Solution rollout plan required
</v>
      </c>
    </row>
    <row r="56" spans="1:24" hidden="1">
      <c r="A56" s="170" t="s">
        <v>991</v>
      </c>
      <c r="B56" s="170" t="str">
        <f>_xlfn.XLOOKUP(C56,Errorlog_table[AIR],Errorlog_table[Root_Error],"not found",0,-1)</f>
        <v>not found</v>
      </c>
      <c r="C56" s="15" t="s">
        <v>1073</v>
      </c>
      <c r="D56" s="15" t="str">
        <f>_xlfn.XLOOKUP(MTBF_pareto[[#This Row],[AIR]],AIR_dump[Number],AIR_dump[Project lead],"N/A",0)</f>
        <v>JBDX</v>
      </c>
      <c r="E56"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56"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56" s="130">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H56" s="123" t="str">
        <f>_xlfn.XLOOKUP(C56,Errorlog_table[AIR],Errorlog_table[Description],"not found",0,-1)</f>
        <v>not found</v>
      </c>
      <c r="I56" s="123" t="s">
        <v>1074</v>
      </c>
      <c r="J56"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56"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56"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56"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56" s="2">
        <f>MTBF_pareto[[#This Row],[Main Customer]]+MTBF_pareto[[#This Row],[Other Customer1]]+MTBF_pareto[[#This Row],[Other Customer2]]</f>
        <v>0</v>
      </c>
      <c r="O56" s="2">
        <f>IF(MTBF_pareto[[#This Row],[Status]]="Solved",MTBF_pareto[[#This Row],[Downtime solved]],IF(MTBF_pareto[[#This Row],[Status]]="Open",MTBF_pareto[[#This Row],[Downtime open]],MTBF_pareto[[#This Row],[Downtime planned]]))</f>
        <v>0</v>
      </c>
      <c r="P56" s="123" t="str" cm="1">
        <f t="array" ref="P56">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56" s="131" t="str" cm="1">
        <f t="array" ref="Q56">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56" s="2">
        <f>COUNTIFS(Errorlog_table[AIR],MTBF_pareto[[#This Row],[AIR]],Errorlog_table[P_Hits],"Y",Errorlog_table[Year_Week_Number],"&gt;="&amp;$K$3,Errorlog_table[Year_Week_Number],"&lt;="&amp;$C$4)</f>
        <v>0</v>
      </c>
      <c r="S56" s="2">
        <f>COUNTIFS(Errorlog_table[AIR],MTBF_pareto[[#This Row],[AIR]],Errorlog_table[U_Hits],"Y",Errorlog_table[Year_Week_Number],"&gt;="&amp;$K$3,Errorlog_table[Year_Week_Number],"&lt;="&amp;$C$4)</f>
        <v>0</v>
      </c>
      <c r="T56" s="2">
        <f>COUNTIFS(Errorlog_table[AIR],MTBF_pareto[[#This Row],[AIR]],Errorlog_table[P_Hits],"Y",Errorlog_table[Year_Week_Number],"&gt;="&amp;$K$3,Errorlog_table[Year_Week_Number],"&lt;="&amp;$C$4,Errorlog_table[System],$K$1)</f>
        <v>0</v>
      </c>
      <c r="U56" s="2">
        <f>COUNTIFS(Errorlog_table[AIR],MTBF_pareto[[#This Row],[AIR]],Errorlog_table[U_Hits],"Y",Errorlog_table[Year_Week_Number],"&gt;="&amp;$K$3,Errorlog_table[Year_Week_Number],"&lt;="&amp;$C$4,Errorlog_table[System],$K$1)</f>
        <v>0</v>
      </c>
      <c r="V56" s="2">
        <v>3</v>
      </c>
      <c r="W56" s="2" t="s">
        <v>581</v>
      </c>
      <c r="X56" s="123" t="str">
        <f>_xlfn.XLOOKUP(MTBF_pareto[[#This Row],[AIR]],AIR_dump[Number],AIR_dump[Amb Work notes],"not on amb list",0)</f>
        <v xml:space="preserve">2503.3 13:12:41 - Isaac Castanedo Guerra (Amb Work notes)
Patch is tested on Proto 20; running OK. Die repair on Proto 20 not connected to this patch. Delivery to SPA141v3. SPA140v2.5 patch is in delivery process.  Release for a-test and needs to be tested this week. To check with Src SW integration.
2452.2 15:12:17 - Shravan Rajagopalan (Amb Work notes)
wk50.3: Pull in to have solution in wk2503 HOI SWI. Bug in Firmware "
"wk50.2: New issue
</v>
      </c>
    </row>
    <row r="57" spans="1:24" hidden="1">
      <c r="A57" s="170" t="s">
        <v>991</v>
      </c>
      <c r="B57" s="171" t="str">
        <f>_xlfn.XLOOKUP(C57,Errorlog_table[AIR],Errorlog_table[Root_Error],"not found",0,-1)</f>
        <v>not found</v>
      </c>
      <c r="C57" s="15" t="s">
        <v>1075</v>
      </c>
      <c r="D57" s="15" t="str">
        <f>_xlfn.XLOOKUP(MTBF_pareto[[#This Row],[AIR]],AIR_dump[Number],AIR_dump[Project lead],"N/A",0)</f>
        <v>N/A</v>
      </c>
      <c r="E57"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57"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57" s="130">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H57" s="133" t="str">
        <f>_xlfn.XLOOKUP(C57,Errorlog_table[AIR],Errorlog_table[Description],"not found",0,-1)</f>
        <v>not found</v>
      </c>
      <c r="I57" s="123" t="s">
        <v>1076</v>
      </c>
      <c r="J57"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57"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57"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57"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57" s="130">
        <f>MTBF_pareto[[#This Row],[Main Customer]]+MTBF_pareto[[#This Row],[Other Customer1]]+MTBF_pareto[[#This Row],[Other Customer2]]</f>
        <v>0</v>
      </c>
      <c r="O57" s="130">
        <f>IF(MTBF_pareto[[#This Row],[Status]]="Solved",MTBF_pareto[[#This Row],[Downtime solved]],IF(MTBF_pareto[[#This Row],[Status]]="Open",MTBF_pareto[[#This Row],[Downtime open]],MTBF_pareto[[#This Row],[Downtime planned]]))</f>
        <v>0</v>
      </c>
      <c r="P57" s="133" t="str" cm="1">
        <f t="array" ref="P57">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57" s="134" t="str" cm="1">
        <f t="array" ref="Q57">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57" s="2">
        <f>COUNTIFS(Errorlog_table[AIR],MTBF_pareto[[#This Row],[AIR]],Errorlog_table[P_Hits],"Y",Errorlog_table[Year_Week_Number],"&gt;="&amp;$K$3,Errorlog_table[Year_Week_Number],"&lt;="&amp;$C$4)</f>
        <v>0</v>
      </c>
      <c r="S57" s="130">
        <f>COUNTIFS(Errorlog_table[AIR],MTBF_pareto[[#This Row],[AIR]],Errorlog_table[U_Hits],"Y",Errorlog_table[Year_Week_Number],"&gt;="&amp;$K$3,Errorlog_table[Year_Week_Number],"&lt;="&amp;$C$4)</f>
        <v>0</v>
      </c>
      <c r="T57" s="130">
        <f>COUNTIFS(Errorlog_table[AIR],MTBF_pareto[[#This Row],[AIR]],Errorlog_table[P_Hits],"Y",Errorlog_table[Year_Week_Number],"&gt;="&amp;$K$3,Errorlog_table[Year_Week_Number],"&lt;="&amp;$C$4,Errorlog_table[System],$K$1)</f>
        <v>0</v>
      </c>
      <c r="U57" s="130">
        <f>COUNTIFS(Errorlog_table[AIR],MTBF_pareto[[#This Row],[AIR]],Errorlog_table[U_Hits],"Y",Errorlog_table[Year_Week_Number],"&gt;="&amp;$K$3,Errorlog_table[Year_Week_Number],"&lt;="&amp;$C$4,Errorlog_table[System],$K$1)</f>
        <v>0</v>
      </c>
      <c r="V57" s="2">
        <v>3</v>
      </c>
      <c r="W57" s="2" t="s">
        <v>581</v>
      </c>
      <c r="X57" s="123" t="str">
        <f>_xlfn.XLOOKUP(MTBF_pareto[[#This Row],[AIR]],AIR_dump[Number],AIR_dump[Amb Work notes],"not on amb list",0)</f>
        <v>not on amb list</v>
      </c>
    </row>
    <row r="58" spans="1:24">
      <c r="A58" s="170" t="s">
        <v>994</v>
      </c>
      <c r="B58" s="171" t="str">
        <f>_xlfn.XLOOKUP(C58,Errorlog_table[AIR],Errorlog_table[Root_Error],"not found",0,-1)</f>
        <v>not found</v>
      </c>
      <c r="C58" s="15" t="s">
        <v>1077</v>
      </c>
      <c r="D58" s="15" t="str">
        <f>_xlfn.XLOOKUP(MTBF_pareto[[#This Row],[AIR]],AIR_dump[Number],AIR_dump[Project lead],"N/A",0)</f>
        <v>BCOF</v>
      </c>
      <c r="E58"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58"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58"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58" s="133" t="str">
        <f>_xlfn.XLOOKUP(C58,Errorlog_table[AIR],Errorlog_table[Description],"not found",0,-1)</f>
        <v>not found</v>
      </c>
      <c r="I58" s="123" t="s">
        <v>1013</v>
      </c>
      <c r="J58"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58"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58"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58"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58" s="130">
        <f>MTBF_pareto[[#This Row],[Main Customer]]+MTBF_pareto[[#This Row],[Other Customer1]]+MTBF_pareto[[#This Row],[Other Customer2]]</f>
        <v>0</v>
      </c>
      <c r="O58" s="130">
        <f>IF(MTBF_pareto[[#This Row],[Status]]="Solved",MTBF_pareto[[#This Row],[Downtime solved]],IF(MTBF_pareto[[#This Row],[Status]]="Open",MTBF_pareto[[#This Row],[Downtime open]],MTBF_pareto[[#This Row],[Downtime planned]]))</f>
        <v>0</v>
      </c>
      <c r="P58" s="133" t="str" cm="1">
        <f t="array" ref="P58">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58" s="134" t="str" cm="1">
        <f t="array" ref="Q58">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58" s="2">
        <f>COUNTIFS(Errorlog_table[AIR],MTBF_pareto[[#This Row],[AIR]],Errorlog_table[P_Hits],"Y",Errorlog_table[Year_Week_Number],"&gt;="&amp;$K$3,Errorlog_table[Year_Week_Number],"&lt;="&amp;$C$4)</f>
        <v>0</v>
      </c>
      <c r="S58" s="130">
        <f>COUNTIFS(Errorlog_table[AIR],MTBF_pareto[[#This Row],[AIR]],Errorlog_table[U_Hits],"Y",Errorlog_table[Year_Week_Number],"&gt;="&amp;$K$3,Errorlog_table[Year_Week_Number],"&lt;="&amp;$C$4)</f>
        <v>0</v>
      </c>
      <c r="T58" s="130">
        <f>COUNTIFS(Errorlog_table[AIR],MTBF_pareto[[#This Row],[AIR]],Errorlog_table[P_Hits],"Y",Errorlog_table[Year_Week_Number],"&gt;="&amp;$K$3,Errorlog_table[Year_Week_Number],"&lt;="&amp;$C$4,Errorlog_table[System],$K$1)</f>
        <v>0</v>
      </c>
      <c r="U58" s="130">
        <f>COUNTIFS(Errorlog_table[AIR],MTBF_pareto[[#This Row],[AIR]],Errorlog_table[U_Hits],"Y",Errorlog_table[Year_Week_Number],"&gt;="&amp;$K$3,Errorlog_table[Year_Week_Number],"&lt;="&amp;$C$4,Errorlog_table[System],$K$1)</f>
        <v>0</v>
      </c>
      <c r="V58" s="2">
        <v>3</v>
      </c>
      <c r="W58" s="2" t="s">
        <v>581</v>
      </c>
      <c r="X58" s="123" t="str">
        <f>_xlfn.XLOOKUP(MTBF_pareto[[#This Row],[AIR]],AIR_dump[Number],AIR_dump[Amb Work notes],"not on amb list",0)</f>
        <v/>
      </c>
    </row>
    <row r="59" spans="1:24">
      <c r="A59" s="170" t="s">
        <v>994</v>
      </c>
      <c r="B59" s="171" t="str">
        <f>_xlfn.XLOOKUP(C59,Errorlog_table[AIR],Errorlog_table[Root_Error],"not found",0,-1)</f>
        <v>not found</v>
      </c>
      <c r="C59" s="15" t="s">
        <v>1078</v>
      </c>
      <c r="D59" s="3" t="str">
        <f>_xlfn.XLOOKUP(MTBF_pareto[[#This Row],[AIR]],AIR_dump[Number],AIR_dump[Project lead],"N/A",0)</f>
        <v>N/A</v>
      </c>
      <c r="E59"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59"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59"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59" s="133" t="str">
        <f>_xlfn.XLOOKUP(C59,Errorlog_table[AIR],Errorlog_table[Description],"not found",0,-1)</f>
        <v>not found</v>
      </c>
      <c r="I59" s="123" t="s">
        <v>1023</v>
      </c>
      <c r="J59"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59"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59"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59"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59" s="130">
        <f>MTBF_pareto[[#This Row],[Main Customer]]+MTBF_pareto[[#This Row],[Other Customer1]]+MTBF_pareto[[#This Row],[Other Customer2]]</f>
        <v>0</v>
      </c>
      <c r="O59" s="130">
        <f>IF(MTBF_pareto[[#This Row],[Status]]="Solved",MTBF_pareto[[#This Row],[Downtime solved]],IF(MTBF_pareto[[#This Row],[Status]]="Open",MTBF_pareto[[#This Row],[Downtime open]],MTBF_pareto[[#This Row],[Downtime planned]]))</f>
        <v>0</v>
      </c>
      <c r="P59" s="133" t="str" cm="1">
        <f t="array" ref="P59">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59" s="134" t="str" cm="1">
        <f t="array" ref="Q59">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59" s="2">
        <f>COUNTIFS(Errorlog_table[AIR],MTBF_pareto[[#This Row],[AIR]],Errorlog_table[P_Hits],"Y",Errorlog_table[Year_Week_Number],"&gt;="&amp;$K$3,Errorlog_table[Year_Week_Number],"&lt;="&amp;$C$4)</f>
        <v>0</v>
      </c>
      <c r="S59" s="130">
        <f>COUNTIFS(Errorlog_table[AIR],MTBF_pareto[[#This Row],[AIR]],Errorlog_table[U_Hits],"Y",Errorlog_table[Year_Week_Number],"&gt;="&amp;$K$3,Errorlog_table[Year_Week_Number],"&lt;="&amp;$C$4)</f>
        <v>0</v>
      </c>
      <c r="T59" s="130">
        <f>COUNTIFS(Errorlog_table[AIR],MTBF_pareto[[#This Row],[AIR]],Errorlog_table[P_Hits],"Y",Errorlog_table[Year_Week_Number],"&gt;="&amp;$K$3,Errorlog_table[Year_Week_Number],"&lt;="&amp;$C$4,Errorlog_table[System],$K$1)</f>
        <v>0</v>
      </c>
      <c r="U59" s="130">
        <f>COUNTIFS(Errorlog_table[AIR],MTBF_pareto[[#This Row],[AIR]],Errorlog_table[U_Hits],"Y",Errorlog_table[Year_Week_Number],"&gt;="&amp;$K$3,Errorlog_table[Year_Week_Number],"&lt;="&amp;$C$4,Errorlog_table[System],$K$1)</f>
        <v>0</v>
      </c>
      <c r="V59" s="2">
        <v>3</v>
      </c>
      <c r="W59" s="2" t="s">
        <v>581</v>
      </c>
      <c r="X59" s="123" t="str">
        <f>_xlfn.XLOOKUP(MTBF_pareto[[#This Row],[AIR]],AIR_dump[Number],AIR_dump[Amb Work notes],"not on amb list",0)</f>
        <v>not on amb list</v>
      </c>
    </row>
    <row r="60" spans="1:24">
      <c r="A60" s="170" t="s">
        <v>994</v>
      </c>
      <c r="B60" s="170" t="str">
        <f>_xlfn.XLOOKUP(C60,Errorlog_table[AIR],Errorlog_table[Root_Error],"not found",0,-1)</f>
        <v>not found</v>
      </c>
      <c r="C60" s="15" t="s">
        <v>1079</v>
      </c>
      <c r="D60" s="3" t="str">
        <f>_xlfn.XLOOKUP(MTBF_pareto[[#This Row],[AIR]],AIR_dump[Number],AIR_dump[Project lead],"N/A",0)</f>
        <v>RABG</v>
      </c>
      <c r="E60"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60"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60"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60" s="123" t="str">
        <f>_xlfn.XLOOKUP(C60,Errorlog_table[AIR],Errorlog_table[Description],"not found",0,-1)</f>
        <v>not found</v>
      </c>
      <c r="I60" s="123" t="s">
        <v>1013</v>
      </c>
      <c r="J60"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60"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60"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60"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60" s="2">
        <f>MTBF_pareto[[#This Row],[Main Customer]]+MTBF_pareto[[#This Row],[Other Customer1]]+MTBF_pareto[[#This Row],[Other Customer2]]</f>
        <v>0</v>
      </c>
      <c r="O60" s="2">
        <f>IF(MTBF_pareto[[#This Row],[Status]]="Solved",MTBF_pareto[[#This Row],[Downtime solved]],IF(MTBF_pareto[[#This Row],[Status]]="Open",MTBF_pareto[[#This Row],[Downtime open]],MTBF_pareto[[#This Row],[Downtime planned]]))</f>
        <v>0</v>
      </c>
      <c r="P60" s="123" t="str" cm="1">
        <f t="array" ref="P60">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60" s="131" t="str" cm="1">
        <f t="array" ref="Q60">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60" s="2">
        <f>COUNTIFS(Errorlog_table[AIR],MTBF_pareto[[#This Row],[AIR]],Errorlog_table[P_Hits],"Y",Errorlog_table[Year_Week_Number],"&gt;="&amp;$K$3,Errorlog_table[Year_Week_Number],"&lt;="&amp;$C$4)</f>
        <v>0</v>
      </c>
      <c r="S60" s="2">
        <f>COUNTIFS(Errorlog_table[AIR],MTBF_pareto[[#This Row],[AIR]],Errorlog_table[U_Hits],"Y",Errorlog_table[Year_Week_Number],"&gt;="&amp;$K$3,Errorlog_table[Year_Week_Number],"&lt;="&amp;$C$4)</f>
        <v>0</v>
      </c>
      <c r="T60" s="2">
        <f>COUNTIFS(Errorlog_table[AIR],MTBF_pareto[[#This Row],[AIR]],Errorlog_table[P_Hits],"Y",Errorlog_table[Year_Week_Number],"&gt;="&amp;$K$3,Errorlog_table[Year_Week_Number],"&lt;="&amp;$C$4,Errorlog_table[System],$K$1)</f>
        <v>0</v>
      </c>
      <c r="U60" s="2">
        <f>COUNTIFS(Errorlog_table[AIR],MTBF_pareto[[#This Row],[AIR]],Errorlog_table[U_Hits],"Y",Errorlog_table[Year_Week_Number],"&gt;="&amp;$K$3,Errorlog_table[Year_Week_Number],"&lt;="&amp;$C$4,Errorlog_table[System],$K$1)</f>
        <v>0</v>
      </c>
      <c r="V60" s="2">
        <v>3</v>
      </c>
      <c r="W60" s="2" t="s">
        <v>581</v>
      </c>
      <c r="X60" s="123" t="str">
        <f>_xlfn.XLOOKUP(MTBF_pareto[[#This Row],[AIR]],AIR_dump[Number],AIR_dump[Amb Work notes],"not on amb list",0)</f>
        <v xml:space="preserve">2502.3 14:09:46 - Shravan Rajagopalan (Amb Work notes)
Currently on Hold
2451.3 11:28:45 - Shravan Rajagopalan (Amb Work notes)
Not an MTBFp but it is a u hit
</v>
      </c>
    </row>
    <row r="61" spans="1:24" hidden="1">
      <c r="A61" s="170" t="s">
        <v>988</v>
      </c>
      <c r="B61" s="171" t="str">
        <f>_xlfn.XLOOKUP(C61,Errorlog_table[AIR],Errorlog_table[Root_Error],"not found",0,-1)</f>
        <v>not found</v>
      </c>
      <c r="C61" s="15" t="s">
        <v>1080</v>
      </c>
      <c r="D61" s="3" t="str">
        <f>_xlfn.XLOOKUP(MTBF_pareto[[#This Row],[AIR]],AIR_dump[Number],AIR_dump[Project lead],"N/A",0)</f>
        <v>JQVV</v>
      </c>
      <c r="E61"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61"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61"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61" s="133" t="str">
        <f>_xlfn.XLOOKUP(C61,Errorlog_table[AIR],Errorlog_table[Description],"not found",0,-1)</f>
        <v>not found</v>
      </c>
      <c r="I61" s="123" t="s">
        <v>1081</v>
      </c>
      <c r="J61"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61"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61"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61"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61" s="130">
        <f>MTBF_pareto[[#This Row],[Main Customer]]+MTBF_pareto[[#This Row],[Other Customer1]]+MTBF_pareto[[#This Row],[Other Customer2]]</f>
        <v>0</v>
      </c>
      <c r="O61" s="130">
        <f>IF(MTBF_pareto[[#This Row],[Status]]="Solved",MTBF_pareto[[#This Row],[Downtime solved]],IF(MTBF_pareto[[#This Row],[Status]]="Open",MTBF_pareto[[#This Row],[Downtime open]],MTBF_pareto[[#This Row],[Downtime planned]]))</f>
        <v>0</v>
      </c>
      <c r="P61" s="133" t="str" cm="1">
        <f t="array" ref="P61">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61" s="134" t="str" cm="1">
        <f t="array" ref="Q61">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61" s="130">
        <f>COUNTIFS(Errorlog_table[AIR],MTBF_pareto[[#This Row],[AIR]],Errorlog_table[P_Hits],"Y",Errorlog_table[Year_Week_Number],"&gt;="&amp;$K$3,Errorlog_table[Year_Week_Number],"&lt;="&amp;$C$4)</f>
        <v>0</v>
      </c>
      <c r="S61" s="130">
        <f>COUNTIFS(Errorlog_table[AIR],MTBF_pareto[[#This Row],[AIR]],Errorlog_table[U_Hits],"Y",Errorlog_table[Year_Week_Number],"&gt;="&amp;$K$3,Errorlog_table[Year_Week_Number],"&lt;="&amp;$C$4)</f>
        <v>0</v>
      </c>
      <c r="T61" s="130">
        <f>COUNTIFS(Errorlog_table[AIR],MTBF_pareto[[#This Row],[AIR]],Errorlog_table[P_Hits],"Y",Errorlog_table[Year_Week_Number],"&gt;="&amp;$K$3,Errorlog_table[Year_Week_Number],"&lt;="&amp;$C$4,Errorlog_table[System],$K$1)</f>
        <v>0</v>
      </c>
      <c r="U61" s="130">
        <f>COUNTIFS(Errorlog_table[AIR],MTBF_pareto[[#This Row],[AIR]],Errorlog_table[U_Hits],"Y",Errorlog_table[Year_Week_Number],"&gt;="&amp;$K$3,Errorlog_table[Year_Week_Number],"&lt;="&amp;$C$4,Errorlog_table[System],$K$1)</f>
        <v>0</v>
      </c>
      <c r="V61" s="2">
        <v>2</v>
      </c>
      <c r="W61" s="130" t="s">
        <v>990</v>
      </c>
      <c r="X61" s="123" t="str">
        <f>_xlfn.XLOOKUP(MTBF_pareto[[#This Row],[AIR]],AIR_dump[Number],AIR_dump[Amb Work notes],"not on amb list",0)</f>
        <v/>
      </c>
    </row>
    <row r="62" spans="1:24" hidden="1">
      <c r="A62" s="170" t="s">
        <v>988</v>
      </c>
      <c r="B62" s="170" t="str">
        <f>_xlfn.XLOOKUP(C62,Errorlog_table[AIR],Errorlog_table[Root_Error],"not found",0,-1)</f>
        <v>not found</v>
      </c>
      <c r="C62" s="15" t="s">
        <v>1082</v>
      </c>
      <c r="D62" s="15" t="str">
        <f>_xlfn.XLOOKUP(MTBF_pareto[[#This Row],[AIR]],AIR_dump[Number],AIR_dump[Project lead],"N/A",0)</f>
        <v>IVAM</v>
      </c>
      <c r="E62"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62"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62"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62" s="123" t="str">
        <f>_xlfn.XLOOKUP(C62,Errorlog_table[AIR],Errorlog_table[Description],"not found",0,-1)</f>
        <v>not found</v>
      </c>
      <c r="I62" s="123" t="s">
        <v>1083</v>
      </c>
      <c r="J62"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62"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62"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62"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62" s="2">
        <f>MTBF_pareto[[#This Row],[Main Customer]]+MTBF_pareto[[#This Row],[Other Customer1]]+MTBF_pareto[[#This Row],[Other Customer2]]</f>
        <v>0</v>
      </c>
      <c r="O62" s="2">
        <f>IF(MTBF_pareto[[#This Row],[Status]]="Solved",MTBF_pareto[[#This Row],[Downtime solved]],IF(MTBF_pareto[[#This Row],[Status]]="Open",MTBF_pareto[[#This Row],[Downtime open]],MTBF_pareto[[#This Row],[Downtime planned]]))</f>
        <v>0</v>
      </c>
      <c r="P62" s="123" t="str" cm="1">
        <f t="array" ref="P62">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62" s="131" t="str" cm="1">
        <f t="array" ref="Q62">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62" s="2">
        <f>COUNTIFS(Errorlog_table[AIR],MTBF_pareto[[#This Row],[AIR]],Errorlog_table[P_Hits],"Y",Errorlog_table[Year_Week_Number],"&gt;="&amp;$K$3,Errorlog_table[Year_Week_Number],"&lt;="&amp;$C$4)</f>
        <v>0</v>
      </c>
      <c r="S62" s="2">
        <f>COUNTIFS(Errorlog_table[AIR],MTBF_pareto[[#This Row],[AIR]],Errorlog_table[U_Hits],"Y",Errorlog_table[Year_Week_Number],"&gt;="&amp;$K$3,Errorlog_table[Year_Week_Number],"&lt;="&amp;$C$4)</f>
        <v>0</v>
      </c>
      <c r="T62" s="2">
        <f>COUNTIFS(Errorlog_table[AIR],MTBF_pareto[[#This Row],[AIR]],Errorlog_table[P_Hits],"Y",Errorlog_table[Year_Week_Number],"&gt;="&amp;$K$3,Errorlog_table[Year_Week_Number],"&lt;="&amp;$C$4,Errorlog_table[System],$K$1)</f>
        <v>0</v>
      </c>
      <c r="U62" s="2">
        <f>COUNTIFS(Errorlog_table[AIR],MTBF_pareto[[#This Row],[AIR]],Errorlog_table[U_Hits],"Y",Errorlog_table[Year_Week_Number],"&gt;="&amp;$K$3,Errorlog_table[Year_Week_Number],"&lt;="&amp;$C$4,Errorlog_table[System],$K$1)</f>
        <v>0</v>
      </c>
      <c r="V62" s="2">
        <v>1</v>
      </c>
      <c r="W62" s="2" t="s">
        <v>990</v>
      </c>
      <c r="X62" s="123" t="str">
        <f>_xlfn.XLOOKUP(MTBF_pareto[[#This Row],[AIR]],AIR_dump[Number],AIR_dump[Amb Work notes],"not on amb list",0)</f>
        <v xml:space="preserve">2503.3 14:19:45 - Isaac Castanedo Guerra (Amb Work notes)
Part is at supplier to investigate RC. 1 wk to check the hardware.
2452.2 15:38:43 - Shravan Rajagopalan (Amb Work notes)
wk49.3: Board is swapped but not received by SPM team. DTOM to connect SPM project with MN follow-up
wk48.3: Board still not swapped. To be done soon. Project to make sure MN is in place
Wk47.3: Intial suggestion this is a HW issue. Board to be swapped and handed back to project/supplier 
wk46.3: Additional data collection shared with local team to collect data on future hits. 
Wk46: RCA ongoing
</v>
      </c>
    </row>
    <row r="63" spans="1:24" hidden="1">
      <c r="A63" s="170" t="s">
        <v>988</v>
      </c>
      <c r="B63" s="170" t="str">
        <f>_xlfn.XLOOKUP(C63,Errorlog_table[AIR],Errorlog_table[Root_Error],"not found",0,-1)</f>
        <v>not found</v>
      </c>
      <c r="C63" s="15" t="s">
        <v>1084</v>
      </c>
      <c r="D63" s="153" t="str">
        <f>_xlfn.XLOOKUP(MTBF_pareto[[#This Row],[AIR]],AIR_dump[Number],AIR_dump[Project lead],"N/A",0)</f>
        <v>BCOF</v>
      </c>
      <c r="E63"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63"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63"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63" s="123" t="str">
        <f>_xlfn.XLOOKUP(C63,Errorlog_table[AIR],Errorlog_table[Description],"not found",0,-1)</f>
        <v>not found</v>
      </c>
      <c r="I63" s="123" t="s">
        <v>1004</v>
      </c>
      <c r="J63"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63"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63"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63"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63" s="2">
        <f>MTBF_pareto[[#This Row],[Main Customer]]+MTBF_pareto[[#This Row],[Other Customer1]]+MTBF_pareto[[#This Row],[Other Customer2]]</f>
        <v>0</v>
      </c>
      <c r="O63" s="2">
        <f>IF(MTBF_pareto[[#This Row],[Status]]="Solved",MTBF_pareto[[#This Row],[Downtime solved]],IF(MTBF_pareto[[#This Row],[Status]]="Open",MTBF_pareto[[#This Row],[Downtime open]],MTBF_pareto[[#This Row],[Downtime planned]]))</f>
        <v>0</v>
      </c>
      <c r="P63" s="123" t="str" cm="1">
        <f t="array" ref="P63">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63" s="131" t="str" cm="1">
        <f t="array" ref="Q63">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63" s="2">
        <f>COUNTIFS(Errorlog_table[AIR],MTBF_pareto[[#This Row],[AIR]],Errorlog_table[P_Hits],"Y",Errorlog_table[Year_Week_Number],"&gt;="&amp;$K$3,Errorlog_table[Year_Week_Number],"&lt;="&amp;$C$4)</f>
        <v>0</v>
      </c>
      <c r="S63" s="2">
        <f>COUNTIFS(Errorlog_table[AIR],MTBF_pareto[[#This Row],[AIR]],Errorlog_table[U_Hits],"Y",Errorlog_table[Year_Week_Number],"&gt;="&amp;$K$3,Errorlog_table[Year_Week_Number],"&lt;="&amp;$C$4)</f>
        <v>0</v>
      </c>
      <c r="T63" s="2">
        <f>COUNTIFS(Errorlog_table[AIR],MTBF_pareto[[#This Row],[AIR]],Errorlog_table[P_Hits],"Y",Errorlog_table[Year_Week_Number],"&gt;="&amp;$K$3,Errorlog_table[Year_Week_Number],"&lt;="&amp;$C$4,Errorlog_table[System],$K$1)</f>
        <v>0</v>
      </c>
      <c r="U63" s="2">
        <f>COUNTIFS(Errorlog_table[AIR],MTBF_pareto[[#This Row],[AIR]],Errorlog_table[U_Hits],"Y",Errorlog_table[Year_Week_Number],"&gt;="&amp;$K$3,Errorlog_table[Year_Week_Number],"&lt;="&amp;$C$4,Errorlog_table[System],$K$1)</f>
        <v>0</v>
      </c>
      <c r="V63" s="2">
        <v>1</v>
      </c>
      <c r="W63" s="2" t="s">
        <v>581</v>
      </c>
      <c r="X63" s="123" t="str">
        <f>_xlfn.XLOOKUP(MTBF_pareto[[#This Row],[AIR]],AIR_dump[Number],AIR_dump[Amb Work notes],"not on amb list",0)</f>
        <v/>
      </c>
    </row>
    <row r="64" spans="1:24" hidden="1">
      <c r="A64" s="170" t="s">
        <v>988</v>
      </c>
      <c r="B64" s="170" t="str">
        <f>_xlfn.XLOOKUP(C64,Errorlog_table[AIR],Errorlog_table[Root_Error],"not found",0,-1)</f>
        <v>not found</v>
      </c>
      <c r="C64" s="15" t="s">
        <v>1085</v>
      </c>
      <c r="D64" s="153" t="str">
        <f>_xlfn.XLOOKUP(MTBF_pareto[[#This Row],[AIR]],AIR_dump[Number],AIR_dump[Project lead],"N/A",0)</f>
        <v>THID</v>
      </c>
      <c r="E64"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64"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64"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64" s="123" t="str">
        <f>_xlfn.XLOOKUP(C64,Errorlog_table[AIR],Errorlog_table[Description],"not found",0,-1)</f>
        <v>not found</v>
      </c>
      <c r="I64" s="123" t="s">
        <v>1004</v>
      </c>
      <c r="J64"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64"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64"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64"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64" s="2">
        <f>MTBF_pareto[[#This Row],[Main Customer]]+MTBF_pareto[[#This Row],[Other Customer1]]+MTBF_pareto[[#This Row],[Other Customer2]]</f>
        <v>0</v>
      </c>
      <c r="O64" s="2">
        <f>IF(MTBF_pareto[[#This Row],[Status]]="Solved",MTBF_pareto[[#This Row],[Downtime solved]],IF(MTBF_pareto[[#This Row],[Status]]="Open",MTBF_pareto[[#This Row],[Downtime open]],MTBF_pareto[[#This Row],[Downtime planned]]))</f>
        <v>0</v>
      </c>
      <c r="P64" s="123" t="str" cm="1">
        <f t="array" ref="P64">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64" s="131" t="str" cm="1">
        <f t="array" ref="Q64">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64" s="2">
        <f>COUNTIFS(Errorlog_table[AIR],MTBF_pareto[[#This Row],[AIR]],Errorlog_table[P_Hits],"Y",Errorlog_table[Year_Week_Number],"&gt;="&amp;$K$3,Errorlog_table[Year_Week_Number],"&lt;="&amp;$C$4)</f>
        <v>0</v>
      </c>
      <c r="S64" s="2">
        <f>COUNTIFS(Errorlog_table[AIR],MTBF_pareto[[#This Row],[AIR]],Errorlog_table[U_Hits],"Y",Errorlog_table[Year_Week_Number],"&gt;="&amp;$K$3,Errorlog_table[Year_Week_Number],"&lt;="&amp;$C$4)</f>
        <v>0</v>
      </c>
      <c r="T64" s="2">
        <f>COUNTIFS(Errorlog_table[AIR],MTBF_pareto[[#This Row],[AIR]],Errorlog_table[P_Hits],"Y",Errorlog_table[Year_Week_Number],"&gt;="&amp;$K$3,Errorlog_table[Year_Week_Number],"&lt;="&amp;$C$4,Errorlog_table[System],$K$1)</f>
        <v>0</v>
      </c>
      <c r="U64" s="2">
        <f>COUNTIFS(Errorlog_table[AIR],MTBF_pareto[[#This Row],[AIR]],Errorlog_table[U_Hits],"Y",Errorlog_table[Year_Week_Number],"&gt;="&amp;$K$3,Errorlog_table[Year_Week_Number],"&lt;="&amp;$C$4,Errorlog_table[System],$K$1)</f>
        <v>0</v>
      </c>
      <c r="V64" s="2"/>
      <c r="W64" s="2" t="s">
        <v>581</v>
      </c>
      <c r="X64" s="123" t="str">
        <f>_xlfn.XLOOKUP(MTBF_pareto[[#This Row],[AIR]],AIR_dump[Number],AIR_dump[Amb Work notes],"not on amb list",0)</f>
        <v/>
      </c>
    </row>
    <row r="65" spans="1:24" hidden="1">
      <c r="A65" s="170" t="s">
        <v>988</v>
      </c>
      <c r="B65" s="170" t="str">
        <f>_xlfn.XLOOKUP(C65,Errorlog_table[AIR],Errorlog_table[Root_Error],"not found",0,-1)</f>
        <v>not found</v>
      </c>
      <c r="C65" s="15" t="s">
        <v>1086</v>
      </c>
      <c r="D65" s="15" t="str">
        <f>_xlfn.XLOOKUP(MTBF_pareto[[#This Row],[AIR]],AIR_dump[Number],AIR_dump[Project lead],"N/A",0)</f>
        <v>SDOO</v>
      </c>
      <c r="E65"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65"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65"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65" s="123" t="str">
        <f>_xlfn.XLOOKUP(C65,Errorlog_table[AIR],Errorlog_table[Description],"not found",0,-1)</f>
        <v>not found</v>
      </c>
      <c r="I65" s="123" t="s">
        <v>1087</v>
      </c>
      <c r="J65"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65"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65"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65"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65" s="2">
        <f>MTBF_pareto[[#This Row],[Main Customer]]+MTBF_pareto[[#This Row],[Other Customer1]]+MTBF_pareto[[#This Row],[Other Customer2]]</f>
        <v>0</v>
      </c>
      <c r="O65" s="2">
        <f>IF(MTBF_pareto[[#This Row],[Status]]="Solved",MTBF_pareto[[#This Row],[Downtime solved]],IF(MTBF_pareto[[#This Row],[Status]]="Open",MTBF_pareto[[#This Row],[Downtime open]],MTBF_pareto[[#This Row],[Downtime planned]]))</f>
        <v>0</v>
      </c>
      <c r="P65" s="123" t="str" cm="1">
        <f t="array" ref="P65">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65" s="131" t="str" cm="1">
        <f t="array" ref="Q65">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65" s="2">
        <f>COUNTIFS(Errorlog_table[AIR],MTBF_pareto[[#This Row],[AIR]],Errorlog_table[P_Hits],"Y",Errorlog_table[Year_Week_Number],"&gt;="&amp;$K$3,Errorlog_table[Year_Week_Number],"&lt;="&amp;$C$4)</f>
        <v>0</v>
      </c>
      <c r="S65" s="2">
        <f>COUNTIFS(Errorlog_table[AIR],MTBF_pareto[[#This Row],[AIR]],Errorlog_table[U_Hits],"Y",Errorlog_table[Year_Week_Number],"&gt;="&amp;$K$3,Errorlog_table[Year_Week_Number],"&lt;="&amp;$C$4)</f>
        <v>0</v>
      </c>
      <c r="T65" s="2">
        <f>COUNTIFS(Errorlog_table[AIR],MTBF_pareto[[#This Row],[AIR]],Errorlog_table[P_Hits],"Y",Errorlog_table[Year_Week_Number],"&gt;="&amp;$K$3,Errorlog_table[Year_Week_Number],"&lt;="&amp;$C$4,Errorlog_table[System],$K$1)</f>
        <v>0</v>
      </c>
      <c r="U65" s="2">
        <f>COUNTIFS(Errorlog_table[AIR],MTBF_pareto[[#This Row],[AIR]],Errorlog_table[U_Hits],"Y",Errorlog_table[Year_Week_Number],"&gt;="&amp;$K$3,Errorlog_table[Year_Week_Number],"&lt;="&amp;$C$4,Errorlog_table[System],$K$1)</f>
        <v>0</v>
      </c>
      <c r="V65" s="2">
        <v>2</v>
      </c>
      <c r="W65" s="2" t="s">
        <v>581</v>
      </c>
      <c r="X65" s="123" t="str">
        <f>_xlfn.XLOOKUP(MTBF_pareto[[#This Row],[AIR]],AIR_dump[Number],AIR_dump[Amb Work notes],"not on amb list",0)</f>
        <v/>
      </c>
    </row>
    <row r="66" spans="1:24" hidden="1">
      <c r="A66" s="170" t="s">
        <v>991</v>
      </c>
      <c r="B66" s="170" t="str">
        <f>_xlfn.XLOOKUP(C66,Errorlog_table[AIR],Errorlog_table[Root_Error],"not found",0,-1)</f>
        <v>not found</v>
      </c>
      <c r="C66" s="15" t="s">
        <v>1088</v>
      </c>
      <c r="D66" s="15" t="str">
        <f>_xlfn.XLOOKUP(MTBF_pareto[[#This Row],[AIR]],AIR_dump[Number],AIR_dump[Project lead],"N/A",0)</f>
        <v>MRHR</v>
      </c>
      <c r="E66"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66"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66" s="2">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H66" s="123" t="str">
        <f>_xlfn.XLOOKUP(C66,Errorlog_table[AIR],Errorlog_table[Description],"not found",0,-1)</f>
        <v>not found</v>
      </c>
      <c r="I66" s="123" t="s">
        <v>1089</v>
      </c>
      <c r="J66"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66"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66"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66"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66" s="2">
        <f>MTBF_pareto[[#This Row],[Main Customer]]+MTBF_pareto[[#This Row],[Other Customer1]]+MTBF_pareto[[#This Row],[Other Customer2]]</f>
        <v>0</v>
      </c>
      <c r="O66" s="2">
        <f>IF(MTBF_pareto[[#This Row],[Status]]="Solved",MTBF_pareto[[#This Row],[Downtime solved]],IF(MTBF_pareto[[#This Row],[Status]]="Open",MTBF_pareto[[#This Row],[Downtime open]],MTBF_pareto[[#This Row],[Downtime planned]]))</f>
        <v>0</v>
      </c>
      <c r="P66" s="123" t="str" cm="1">
        <f t="array" ref="P66">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66" s="131" t="str" cm="1">
        <f t="array" ref="Q66">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66" s="2">
        <f>COUNTIFS(Errorlog_table[AIR],MTBF_pareto[[#This Row],[AIR]],Errorlog_table[P_Hits],"Y",Errorlog_table[Year_Week_Number],"&gt;="&amp;$K$3,Errorlog_table[Year_Week_Number],"&lt;="&amp;$C$4)</f>
        <v>0</v>
      </c>
      <c r="S66" s="2">
        <f>COUNTIFS(Errorlog_table[AIR],MTBF_pareto[[#This Row],[AIR]],Errorlog_table[U_Hits],"Y",Errorlog_table[Year_Week_Number],"&gt;="&amp;$K$3,Errorlog_table[Year_Week_Number],"&lt;="&amp;$C$4)</f>
        <v>0</v>
      </c>
      <c r="T66" s="2">
        <f>COUNTIFS(Errorlog_table[AIR],MTBF_pareto[[#This Row],[AIR]],Errorlog_table[P_Hits],"Y",Errorlog_table[Year_Week_Number],"&gt;="&amp;$K$3,Errorlog_table[Year_Week_Number],"&lt;="&amp;$C$4,Errorlog_table[System],$K$1)</f>
        <v>0</v>
      </c>
      <c r="U66" s="2">
        <f>COUNTIFS(Errorlog_table[AIR],MTBF_pareto[[#This Row],[AIR]],Errorlog_table[U_Hits],"Y",Errorlog_table[Year_Week_Number],"&gt;="&amp;$K$3,Errorlog_table[Year_Week_Number],"&lt;="&amp;$C$4,Errorlog_table[System],$K$1)</f>
        <v>0</v>
      </c>
      <c r="V66" s="2">
        <v>1</v>
      </c>
      <c r="W66" s="2" t="s">
        <v>581</v>
      </c>
      <c r="X66" s="123" t="str">
        <f>_xlfn.XLOOKUP(MTBF_pareto[[#This Row],[AIR]],AIR_dump[Number],AIR_dump[Amb Work notes],"not on amb list",0)</f>
        <v xml:space="preserve">2503.3 13:18:19 - Isaac Castanedo Guerra (Amb Work notes)
patch on SP36 done. Patch on SP39 on track for this week. SP38 wk4.4 - check if we can test earlier on wk4.2
2502.3 13:24:18 - Shravan Rajagopalan (Amb Work notes)
5k SP39 wk03.5 on track
2452.2 15:02:54 - Shravan Rajagopalan (Amb Work notes)
wk51.3: On track for 5k HOI wk2503.4"
wk50.3: HOI wk2503.4 for 5k SP39 
wk49.3: Come back wk49.5 9am for progress 
wk49.2: Biggest issue at this moment, critical to get plan asap
"Wk49: Solution testing underway. Rollout plan required
</v>
      </c>
    </row>
    <row r="67" spans="1:24">
      <c r="A67" s="170" t="s">
        <v>994</v>
      </c>
      <c r="B67" s="170" t="str">
        <f>_xlfn.XLOOKUP(C67,Errorlog_table[AIR],Errorlog_table[Root_Error],"not found",0,-1)</f>
        <v>not found</v>
      </c>
      <c r="C67" s="15" t="s">
        <v>1090</v>
      </c>
      <c r="D67" s="153" t="str">
        <f>_xlfn.XLOOKUP(MTBF_pareto[[#This Row],[AIR]],AIR_dump[Number],AIR_dump[Project lead],"N/A",0)</f>
        <v>RABG</v>
      </c>
      <c r="E67"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67"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67"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67" s="123" t="str">
        <f>_xlfn.XLOOKUP(C67,Errorlog_table[AIR],Errorlog_table[Description],"not found",0,-1)</f>
        <v>not found</v>
      </c>
      <c r="I67" s="123" t="s">
        <v>1013</v>
      </c>
      <c r="J67"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67"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67"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67"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67" s="2">
        <f>MTBF_pareto[[#This Row],[Main Customer]]+MTBF_pareto[[#This Row],[Other Customer1]]+MTBF_pareto[[#This Row],[Other Customer2]]</f>
        <v>0</v>
      </c>
      <c r="O67" s="2">
        <f>IF(MTBF_pareto[[#This Row],[Status]]="Solved",MTBF_pareto[[#This Row],[Downtime solved]],IF(MTBF_pareto[[#This Row],[Status]]="Open",MTBF_pareto[[#This Row],[Downtime open]],MTBF_pareto[[#This Row],[Downtime planned]]))</f>
        <v>0</v>
      </c>
      <c r="P67" s="123" t="str" cm="1">
        <f t="array" ref="P67">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67" s="131" t="str" cm="1">
        <f t="array" ref="Q67">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67" s="2">
        <f>COUNTIFS(Errorlog_table[AIR],MTBF_pareto[[#This Row],[AIR]],Errorlog_table[P_Hits],"Y",Errorlog_table[Year_Week_Number],"&gt;="&amp;$K$3,Errorlog_table[Year_Week_Number],"&lt;="&amp;$C$4)</f>
        <v>0</v>
      </c>
      <c r="S67" s="2">
        <f>COUNTIFS(Errorlog_table[AIR],MTBF_pareto[[#This Row],[AIR]],Errorlog_table[U_Hits],"Y",Errorlog_table[Year_Week_Number],"&gt;="&amp;$K$3,Errorlog_table[Year_Week_Number],"&lt;="&amp;$C$4)</f>
        <v>0</v>
      </c>
      <c r="T67" s="2">
        <f>COUNTIFS(Errorlog_table[AIR],MTBF_pareto[[#This Row],[AIR]],Errorlog_table[P_Hits],"Y",Errorlog_table[Year_Week_Number],"&gt;="&amp;$K$3,Errorlog_table[Year_Week_Number],"&lt;="&amp;$C$4,Errorlog_table[System],$K$1)</f>
        <v>0</v>
      </c>
      <c r="U67" s="2">
        <f>COUNTIFS(Errorlog_table[AIR],MTBF_pareto[[#This Row],[AIR]],Errorlog_table[U_Hits],"Y",Errorlog_table[Year_Week_Number],"&gt;="&amp;$K$3,Errorlog_table[Year_Week_Number],"&lt;="&amp;$C$4,Errorlog_table[System],$K$1)</f>
        <v>0</v>
      </c>
      <c r="V67" s="2">
        <v>3</v>
      </c>
      <c r="W67" s="2" t="s">
        <v>581</v>
      </c>
      <c r="X67" s="123" t="str">
        <f>_xlfn.XLOOKUP(MTBF_pareto[[#This Row],[AIR]],AIR_dump[Number],AIR_dump[Amb Work notes],"not on amb list",0)</f>
        <v xml:space="preserve">2502.3 14:08:02 - Shravan Rajagopalan (Amb Work notes)
Investigation on Hold
2452.2 15:27:19 - Shravan Rajagopalan (Amb Work notes)
Wk51: New issue. Intake ongoing
</v>
      </c>
    </row>
    <row r="68" spans="1:24" hidden="1">
      <c r="A68" s="170" t="s">
        <v>988</v>
      </c>
      <c r="B68" s="171" t="str">
        <f>_xlfn.XLOOKUP(C68,Errorlog_table[AIR],Errorlog_table[Root_Error],"not found",0,-1)</f>
        <v>not found</v>
      </c>
      <c r="C68" s="15" t="s">
        <v>1091</v>
      </c>
      <c r="D68" s="15" t="str">
        <f>_xlfn.XLOOKUP(MTBF_pareto[[#This Row],[AIR]],AIR_dump[Number],AIR_dump[Project lead],"N/A",0)</f>
        <v>N/A</v>
      </c>
      <c r="E68"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68"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68"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68" s="133" t="str">
        <f>_xlfn.XLOOKUP(C68,Errorlog_table[AIR],Errorlog_table[Description],"not found",0,-1)</f>
        <v>not found</v>
      </c>
      <c r="I68" s="179" t="s">
        <v>1092</v>
      </c>
      <c r="J68"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68"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68"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68"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68" s="130">
        <f>MTBF_pareto[[#This Row],[Main Customer]]+MTBF_pareto[[#This Row],[Other Customer1]]+MTBF_pareto[[#This Row],[Other Customer2]]</f>
        <v>0</v>
      </c>
      <c r="O68" s="130">
        <f>IF(MTBF_pareto[[#This Row],[Status]]="Solved",MTBF_pareto[[#This Row],[Downtime solved]],IF(MTBF_pareto[[#This Row],[Status]]="Open",MTBF_pareto[[#This Row],[Downtime open]],MTBF_pareto[[#This Row],[Downtime planned]]))</f>
        <v>0</v>
      </c>
      <c r="P68" s="133" t="str" cm="1">
        <f t="array" ref="P68">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68" s="134" t="str" cm="1">
        <f t="array" ref="Q68">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68" s="130">
        <f>COUNTIFS(Errorlog_table[AIR],MTBF_pareto[[#This Row],[AIR]],Errorlog_table[P_Hits],"Y",Errorlog_table[Year_Week_Number],"&gt;="&amp;$K$3,Errorlog_table[Year_Week_Number],"&lt;="&amp;$C$4)</f>
        <v>0</v>
      </c>
      <c r="S68" s="130">
        <f>COUNTIFS(Errorlog_table[AIR],MTBF_pareto[[#This Row],[AIR]],Errorlog_table[U_Hits],"Y",Errorlog_table[Year_Week_Number],"&gt;="&amp;$K$3,Errorlog_table[Year_Week_Number],"&lt;="&amp;$C$4)</f>
        <v>0</v>
      </c>
      <c r="T68" s="130">
        <f>COUNTIFS(Errorlog_table[AIR],MTBF_pareto[[#This Row],[AIR]],Errorlog_table[P_Hits],"Y",Errorlog_table[Year_Week_Number],"&gt;="&amp;$K$3,Errorlog_table[Year_Week_Number],"&lt;="&amp;$C$4,Errorlog_table[System],$K$1)</f>
        <v>0</v>
      </c>
      <c r="U68" s="130">
        <f>COUNTIFS(Errorlog_table[AIR],MTBF_pareto[[#This Row],[AIR]],Errorlog_table[U_Hits],"Y",Errorlog_table[Year_Week_Number],"&gt;="&amp;$K$3,Errorlog_table[Year_Week_Number],"&lt;="&amp;$C$4,Errorlog_table[System],$K$1)</f>
        <v>0</v>
      </c>
      <c r="V68" s="2">
        <v>2</v>
      </c>
      <c r="W68" s="130" t="s">
        <v>990</v>
      </c>
      <c r="X68" s="123" t="str">
        <f>_xlfn.XLOOKUP(MTBF_pareto[[#This Row],[AIR]],AIR_dump[Number],AIR_dump[Amb Work notes],"not on amb list",0)</f>
        <v>not on amb list</v>
      </c>
    </row>
    <row r="69" spans="1:24">
      <c r="A69" s="170" t="s">
        <v>994</v>
      </c>
      <c r="B69" s="170" t="str">
        <f>_xlfn.XLOOKUP(C69,Errorlog_table[AIR],Errorlog_table[Root_Error],"not found",0,-1)</f>
        <v>not found</v>
      </c>
      <c r="C69" s="15" t="s">
        <v>1093</v>
      </c>
      <c r="D69" s="15" t="str">
        <f>_xlfn.XLOOKUP(MTBF_pareto[[#This Row],[AIR]],AIR_dump[Number],AIR_dump[Project lead],"N/A",0)</f>
        <v>THID</v>
      </c>
      <c r="E69"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69"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69"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69" s="123" t="str">
        <f>_xlfn.XLOOKUP(C69,Errorlog_table[AIR],Errorlog_table[Description],"not found",0,-1)</f>
        <v>not found</v>
      </c>
      <c r="I69" s="123" t="s">
        <v>1013</v>
      </c>
      <c r="J69"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69"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69"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69"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69" s="2">
        <f>MTBF_pareto[[#This Row],[Main Customer]]+MTBF_pareto[[#This Row],[Other Customer1]]+MTBF_pareto[[#This Row],[Other Customer2]]</f>
        <v>0</v>
      </c>
      <c r="O69" s="2">
        <f>IF(MTBF_pareto[[#This Row],[Status]]="Solved",MTBF_pareto[[#This Row],[Downtime solved]],IF(MTBF_pareto[[#This Row],[Status]]="Open",MTBF_pareto[[#This Row],[Downtime open]],MTBF_pareto[[#This Row],[Downtime planned]]))</f>
        <v>0</v>
      </c>
      <c r="P69" s="123" t="str" cm="1">
        <f t="array" ref="P69">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69" s="131" t="str" cm="1">
        <f t="array" ref="Q69">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69" s="2">
        <f>COUNTIFS(Errorlog_table[AIR],MTBF_pareto[[#This Row],[AIR]],Errorlog_table[P_Hits],"Y",Errorlog_table[Year_Week_Number],"&gt;="&amp;$K$3,Errorlog_table[Year_Week_Number],"&lt;="&amp;$C$4)</f>
        <v>0</v>
      </c>
      <c r="S69" s="2">
        <f>COUNTIFS(Errorlog_table[AIR],MTBF_pareto[[#This Row],[AIR]],Errorlog_table[U_Hits],"Y",Errorlog_table[Year_Week_Number],"&gt;="&amp;$K$3,Errorlog_table[Year_Week_Number],"&lt;="&amp;$C$4)</f>
        <v>0</v>
      </c>
      <c r="T69" s="2">
        <f>COUNTIFS(Errorlog_table[AIR],MTBF_pareto[[#This Row],[AIR]],Errorlog_table[P_Hits],"Y",Errorlog_table[Year_Week_Number],"&gt;="&amp;$K$3,Errorlog_table[Year_Week_Number],"&lt;="&amp;$C$4,Errorlog_table[System],$K$1)</f>
        <v>0</v>
      </c>
      <c r="U69" s="2">
        <f>COUNTIFS(Errorlog_table[AIR],MTBF_pareto[[#This Row],[AIR]],Errorlog_table[U_Hits],"Y",Errorlog_table[Year_Week_Number],"&gt;="&amp;$K$3,Errorlog_table[Year_Week_Number],"&lt;="&amp;$C$4,Errorlog_table[System],$K$1)</f>
        <v>0</v>
      </c>
      <c r="V69" s="2">
        <v>3</v>
      </c>
      <c r="W69" s="2" t="s">
        <v>581</v>
      </c>
      <c r="X69" s="123" t="str">
        <f>_xlfn.XLOOKUP(MTBF_pareto[[#This Row],[AIR]],AIR_dump[Number],AIR_dump[Amb Work notes],"not on amb list",0)</f>
        <v/>
      </c>
    </row>
    <row r="70" spans="1:24" ht="14.45" customHeight="1">
      <c r="A70" s="170" t="s">
        <v>994</v>
      </c>
      <c r="B70" s="170" t="str">
        <f>_xlfn.XLOOKUP(C70,Errorlog_table[AIR],Errorlog_table[Root_Error],"not found",0,-1)</f>
        <v>not found</v>
      </c>
      <c r="C70" s="15" t="s">
        <v>1094</v>
      </c>
      <c r="D70" s="15" t="str">
        <f>_xlfn.XLOOKUP(MTBF_pareto[[#This Row],[AIR]],AIR_dump[Number],AIR_dump[Project lead],"N/A",0)</f>
        <v>RABG</v>
      </c>
      <c r="E70"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70"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70"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0" s="123" t="str">
        <f>_xlfn.XLOOKUP(C70,Errorlog_table[AIR],Errorlog_table[Description],"not found",0,-1)</f>
        <v>not found</v>
      </c>
      <c r="I70" s="123" t="s">
        <v>1058</v>
      </c>
      <c r="J70"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0"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0"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0"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0" s="2">
        <f>MTBF_pareto[[#This Row],[Main Customer]]+MTBF_pareto[[#This Row],[Other Customer1]]+MTBF_pareto[[#This Row],[Other Customer2]]</f>
        <v>0</v>
      </c>
      <c r="O70" s="2">
        <f>IF(MTBF_pareto[[#This Row],[Status]]="Solved",MTBF_pareto[[#This Row],[Downtime solved]],IF(MTBF_pareto[[#This Row],[Status]]="Open",MTBF_pareto[[#This Row],[Downtime open]],MTBF_pareto[[#This Row],[Downtime planned]]))</f>
        <v>0</v>
      </c>
      <c r="P70" s="123" t="str" cm="1">
        <f t="array" ref="P70">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0" s="131" t="str" cm="1">
        <f t="array" ref="Q70">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0" s="2">
        <f>COUNTIFS(Errorlog_table[AIR],MTBF_pareto[[#This Row],[AIR]],Errorlog_table[P_Hits],"Y",Errorlog_table[Year_Week_Number],"&gt;="&amp;$K$3,Errorlog_table[Year_Week_Number],"&lt;="&amp;$C$4)</f>
        <v>0</v>
      </c>
      <c r="S70" s="2">
        <f>COUNTIFS(Errorlog_table[AIR],MTBF_pareto[[#This Row],[AIR]],Errorlog_table[U_Hits],"Y",Errorlog_table[Year_Week_Number],"&gt;="&amp;$K$3,Errorlog_table[Year_Week_Number],"&lt;="&amp;$C$4)</f>
        <v>0</v>
      </c>
      <c r="T70" s="2">
        <f>COUNTIFS(Errorlog_table[AIR],MTBF_pareto[[#This Row],[AIR]],Errorlog_table[P_Hits],"Y",Errorlog_table[Year_Week_Number],"&gt;="&amp;$K$3,Errorlog_table[Year_Week_Number],"&lt;="&amp;$C$4,Errorlog_table[System],$K$1)</f>
        <v>0</v>
      </c>
      <c r="U70" s="2">
        <f>COUNTIFS(Errorlog_table[AIR],MTBF_pareto[[#This Row],[AIR]],Errorlog_table[U_Hits],"Y",Errorlog_table[Year_Week_Number],"&gt;="&amp;$K$3,Errorlog_table[Year_Week_Number],"&lt;="&amp;$C$4,Errorlog_table[System],$K$1)</f>
        <v>0</v>
      </c>
      <c r="V70" s="2"/>
      <c r="W70" s="2" t="s">
        <v>581</v>
      </c>
      <c r="X70" s="123" t="str">
        <f>_xlfn.XLOOKUP(MTBF_pareto[[#This Row],[AIR]],AIR_dump[Number],AIR_dump[Amb Work notes],"not on amb list",0)</f>
        <v xml:space="preserve">2503.3 14:09:05 - Isaac Castanedo Guerra (Amb Work notes)
Alex to link with IBS team on the criticality for 3800
2503.3 14:08:05 - Isaac Castanedo Guerra (Amb Work notes)
Known issue. Leading issue P814183 &amp; P515497.
</v>
      </c>
    </row>
    <row r="71" spans="1:24" hidden="1">
      <c r="A71" s="170" t="s">
        <v>988</v>
      </c>
      <c r="B71" s="171" t="str">
        <f>_xlfn.XLOOKUP(C71,Errorlog_table[AIR],Errorlog_table[Root_Error],"not found",0,-1)</f>
        <v>not found</v>
      </c>
      <c r="C71" s="15" t="s">
        <v>1095</v>
      </c>
      <c r="D71" s="15" t="str">
        <f>_xlfn.XLOOKUP(MTBF_pareto[[#This Row],[AIR]],AIR_dump[Number],AIR_dump[Project lead],"N/A",0)</f>
        <v>THID</v>
      </c>
      <c r="E71"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71"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71"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1" s="133" t="str">
        <f>_xlfn.XLOOKUP(C71,Errorlog_table[AIR],Errorlog_table[Description],"not found",0,-1)</f>
        <v>not found</v>
      </c>
      <c r="I71" s="123" t="s">
        <v>1096</v>
      </c>
      <c r="J71"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1"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1"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1"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1" s="130">
        <f>MTBF_pareto[[#This Row],[Main Customer]]+MTBF_pareto[[#This Row],[Other Customer1]]+MTBF_pareto[[#This Row],[Other Customer2]]</f>
        <v>0</v>
      </c>
      <c r="O71" s="130">
        <f>IF(MTBF_pareto[[#This Row],[Status]]="Solved",MTBF_pareto[[#This Row],[Downtime solved]],IF(MTBF_pareto[[#This Row],[Status]]="Open",MTBF_pareto[[#This Row],[Downtime open]],MTBF_pareto[[#This Row],[Downtime planned]]))</f>
        <v>0</v>
      </c>
      <c r="P71" s="133" t="str" cm="1">
        <f t="array" ref="P71">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1" s="134" t="str" cm="1">
        <f t="array" ref="Q71">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1" s="130">
        <f>COUNTIFS(Errorlog_table[AIR],MTBF_pareto[[#This Row],[AIR]],Errorlog_table[P_Hits],"Y",Errorlog_table[Year_Week_Number],"&gt;="&amp;$K$3,Errorlog_table[Year_Week_Number],"&lt;="&amp;$C$4)</f>
        <v>0</v>
      </c>
      <c r="S71" s="130">
        <f>COUNTIFS(Errorlog_table[AIR],MTBF_pareto[[#This Row],[AIR]],Errorlog_table[U_Hits],"Y",Errorlog_table[Year_Week_Number],"&gt;="&amp;$K$3,Errorlog_table[Year_Week_Number],"&lt;="&amp;$C$4)</f>
        <v>0</v>
      </c>
      <c r="T71" s="130">
        <f>COUNTIFS(Errorlog_table[AIR],MTBF_pareto[[#This Row],[AIR]],Errorlog_table[P_Hits],"Y",Errorlog_table[Year_Week_Number],"&gt;="&amp;$K$3,Errorlog_table[Year_Week_Number],"&lt;="&amp;$C$4,Errorlog_table[System],$K$1)</f>
        <v>0</v>
      </c>
      <c r="U71" s="130">
        <f>COUNTIFS(Errorlog_table[AIR],MTBF_pareto[[#This Row],[AIR]],Errorlog_table[U_Hits],"Y",Errorlog_table[Year_Week_Number],"&gt;="&amp;$K$3,Errorlog_table[Year_Week_Number],"&lt;="&amp;$C$4,Errorlog_table[System],$K$1)</f>
        <v>0</v>
      </c>
      <c r="V71" s="2">
        <v>2</v>
      </c>
      <c r="W71" s="130" t="s">
        <v>990</v>
      </c>
      <c r="X71" s="123" t="str">
        <f>_xlfn.XLOOKUP(MTBF_pareto[[#This Row],[AIR]],AIR_dump[Number],AIR_dump[Amb Work notes],"not on amb list",0)</f>
        <v xml:space="preserve">2452.2 15:43:42 - Shravan Rajagopalan (Amb Work notes)
[intake 2449]
</v>
      </c>
    </row>
    <row r="72" spans="1:24">
      <c r="A72" s="170" t="s">
        <v>994</v>
      </c>
      <c r="B72" s="170" t="str">
        <f>_xlfn.XLOOKUP(C72,Errorlog_table[AIR],Errorlog_table[Root_Error],"not found",0,-1)</f>
        <v>not found</v>
      </c>
      <c r="C72" s="15" t="s">
        <v>1097</v>
      </c>
      <c r="D72" s="15" t="str">
        <f>_xlfn.XLOOKUP(MTBF_pareto[[#This Row],[AIR]],AIR_dump[Number],AIR_dump[Project lead],"N/A",0)</f>
        <v>N/A</v>
      </c>
      <c r="E72"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72"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72"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2" s="133" t="str">
        <f>_xlfn.XLOOKUP(C72,Errorlog_table[AIR],Errorlog_table[Description],"not found",0,-1)</f>
        <v>not found</v>
      </c>
      <c r="I72" s="123" t="s">
        <v>1013</v>
      </c>
      <c r="J72"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2"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2"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2"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2" s="130">
        <f>MTBF_pareto[[#This Row],[Main Customer]]+MTBF_pareto[[#This Row],[Other Customer1]]+MTBF_pareto[[#This Row],[Other Customer2]]</f>
        <v>0</v>
      </c>
      <c r="O72" s="130">
        <f>IF(MTBF_pareto[[#This Row],[Status]]="Solved",MTBF_pareto[[#This Row],[Downtime solved]],IF(MTBF_pareto[[#This Row],[Status]]="Open",MTBF_pareto[[#This Row],[Downtime open]],MTBF_pareto[[#This Row],[Downtime planned]]))</f>
        <v>0</v>
      </c>
      <c r="P72" s="133" t="str" cm="1">
        <f t="array" ref="P72">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2" s="134" t="str" cm="1">
        <f t="array" ref="Q72">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2" s="130">
        <f>COUNTIFS(Errorlog_table[AIR],MTBF_pareto[[#This Row],[AIR]],Errorlog_table[P_Hits],"Y",Errorlog_table[Year_Week_Number],"&gt;="&amp;$K$3,Errorlog_table[Year_Week_Number],"&lt;="&amp;$C$4)</f>
        <v>0</v>
      </c>
      <c r="S72" s="130">
        <f>COUNTIFS(Errorlog_table[AIR],MTBF_pareto[[#This Row],[AIR]],Errorlog_table[U_Hits],"Y",Errorlog_table[Year_Week_Number],"&gt;="&amp;$K$3,Errorlog_table[Year_Week_Number],"&lt;="&amp;$C$4)</f>
        <v>0</v>
      </c>
      <c r="T72" s="130">
        <f>COUNTIFS(Errorlog_table[AIR],MTBF_pareto[[#This Row],[AIR]],Errorlog_table[P_Hits],"Y",Errorlog_table[Year_Week_Number],"&gt;="&amp;$K$3,Errorlog_table[Year_Week_Number],"&lt;="&amp;$C$4,Errorlog_table[System],$K$1)</f>
        <v>0</v>
      </c>
      <c r="U72" s="130">
        <f>COUNTIFS(Errorlog_table[AIR],MTBF_pareto[[#This Row],[AIR]],Errorlog_table[U_Hits],"Y",Errorlog_table[Year_Week_Number],"&gt;="&amp;$K$3,Errorlog_table[Year_Week_Number],"&lt;="&amp;$C$4,Errorlog_table[System],$K$1)</f>
        <v>0</v>
      </c>
      <c r="V72" s="2"/>
      <c r="W72" s="130" t="s">
        <v>990</v>
      </c>
      <c r="X72" s="123" t="str">
        <f>_xlfn.XLOOKUP(MTBF_pareto[[#This Row],[AIR]],AIR_dump[Number],AIR_dump[Amb Work notes],"not on amb list",0)</f>
        <v>not on amb list</v>
      </c>
    </row>
    <row r="73" spans="1:24" hidden="1">
      <c r="A73" s="170" t="s">
        <v>988</v>
      </c>
      <c r="B73" s="170" t="str">
        <f>_xlfn.XLOOKUP(C73,Errorlog_table[AIR],Errorlog_table[Root_Error],"not found",0,-1)</f>
        <v>not found</v>
      </c>
      <c r="C73" s="15" t="s">
        <v>1098</v>
      </c>
      <c r="D73" s="15" t="str">
        <f>_xlfn.XLOOKUP(MTBF_pareto[[#This Row],[AIR]],AIR_dump[Number],AIR_dump[Project lead],"N/A",0)</f>
        <v>STAT</v>
      </c>
      <c r="E73"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73"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73"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3" s="133" t="str">
        <f>_xlfn.XLOOKUP(C73,Errorlog_table[AIR],Errorlog_table[Description],"not found",0,-1)</f>
        <v>not found</v>
      </c>
      <c r="I73" s="123" t="s">
        <v>1004</v>
      </c>
      <c r="J73"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3"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3"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3"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3" s="130">
        <f>MTBF_pareto[[#This Row],[Main Customer]]+MTBF_pareto[[#This Row],[Other Customer1]]+MTBF_pareto[[#This Row],[Other Customer2]]</f>
        <v>0</v>
      </c>
      <c r="O73" s="130">
        <f>IF(MTBF_pareto[[#This Row],[Status]]="Solved",MTBF_pareto[[#This Row],[Downtime solved]],IF(MTBF_pareto[[#This Row],[Status]]="Open",MTBF_pareto[[#This Row],[Downtime open]],MTBF_pareto[[#This Row],[Downtime planned]]))</f>
        <v>0</v>
      </c>
      <c r="P73" s="133" t="str" cm="1">
        <f t="array" ref="P73">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3" s="134" t="str" cm="1">
        <f t="array" ref="Q73">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3" s="2">
        <f>COUNTIFS(Errorlog_table[AIR],MTBF_pareto[[#This Row],[AIR]],Errorlog_table[P_Hits],"Y",Errorlog_table[Year_Week_Number],"&gt;="&amp;$K$3,Errorlog_table[Year_Week_Number],"&lt;="&amp;$C$4)</f>
        <v>0</v>
      </c>
      <c r="S73" s="130">
        <f>COUNTIFS(Errorlog_table[AIR],MTBF_pareto[[#This Row],[AIR]],Errorlog_table[U_Hits],"Y",Errorlog_table[Year_Week_Number],"&gt;="&amp;$K$3,Errorlog_table[Year_Week_Number],"&lt;="&amp;$C$4)</f>
        <v>0</v>
      </c>
      <c r="T73" s="130">
        <f>COUNTIFS(Errorlog_table[AIR],MTBF_pareto[[#This Row],[AIR]],Errorlog_table[P_Hits],"Y",Errorlog_table[Year_Week_Number],"&gt;="&amp;$K$3,Errorlog_table[Year_Week_Number],"&lt;="&amp;$C$4,Errorlog_table[System],$K$1)</f>
        <v>0</v>
      </c>
      <c r="U73" s="130">
        <f>COUNTIFS(Errorlog_table[AIR],MTBF_pareto[[#This Row],[AIR]],Errorlog_table[U_Hits],"Y",Errorlog_table[Year_Week_Number],"&gt;="&amp;$K$3,Errorlog_table[Year_Week_Number],"&lt;="&amp;$C$4,Errorlog_table[System],$K$1)</f>
        <v>0</v>
      </c>
      <c r="V73" s="2"/>
      <c r="W73" s="2" t="s">
        <v>581</v>
      </c>
      <c r="X73" s="133" t="str">
        <f>_xlfn.XLOOKUP(MTBF_pareto[[#This Row],[AIR]],AIR_dump[Number],AIR_dump[Amb Work notes],"not on amb list",0)</f>
        <v xml:space="preserve">2502.1 10:54:50 - Shravan Rajagopalan (Amb Work notes)
Would you say the issue was not resolved in Batch 6? I would say it looks worse actually (from the number of hits...I even recall it used to be contained). So did the Batch 6 update make things worse or did something else in, for example, SP38 make it worse, or did we simply not solve it?
2502.1 10:54:04 - Shravan Rajagopalan (Amb Work notes)
9k provided in Batch 6, however, issue reopened after recent hit on EZ60 at end of the year
</v>
      </c>
    </row>
    <row r="74" spans="1:24">
      <c r="A74" s="170" t="s">
        <v>994</v>
      </c>
      <c r="B74" s="171" t="str">
        <f>_xlfn.XLOOKUP(C74,Errorlog_table[AIR],Errorlog_table[Root_Error],"not found",0,-1)</f>
        <v>not found</v>
      </c>
      <c r="C74" s="15" t="s">
        <v>1099</v>
      </c>
      <c r="D74" s="15" t="str">
        <f>_xlfn.XLOOKUP(MTBF_pareto[[#This Row],[AIR]],AIR_dump[Number],AIR_dump[Project lead],"N/A",0)</f>
        <v>JQVV</v>
      </c>
      <c r="E74"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74"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74"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4" s="133" t="str">
        <f>_xlfn.XLOOKUP(C74,Errorlog_table[AIR],Errorlog_table[Description],"not found",0,-1)</f>
        <v>not found</v>
      </c>
      <c r="I74" s="123" t="s">
        <v>1100</v>
      </c>
      <c r="J74"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4"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4"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4"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4" s="130">
        <f>MTBF_pareto[[#This Row],[Main Customer]]+MTBF_pareto[[#This Row],[Other Customer1]]+MTBF_pareto[[#This Row],[Other Customer2]]</f>
        <v>0</v>
      </c>
      <c r="O74" s="130">
        <f>IF(MTBF_pareto[[#This Row],[Status]]="Solved",MTBF_pareto[[#This Row],[Downtime solved]],IF(MTBF_pareto[[#This Row],[Status]]="Open",MTBF_pareto[[#This Row],[Downtime open]],MTBF_pareto[[#This Row],[Downtime planned]]))</f>
        <v>0</v>
      </c>
      <c r="P74" s="133" t="str" cm="1">
        <f t="array" ref="P74">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4" s="134" t="str" cm="1">
        <f t="array" ref="Q74">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4" s="2">
        <f>COUNTIFS(Errorlog_table[AIR],MTBF_pareto[[#This Row],[AIR]],Errorlog_table[P_Hits],"Y",Errorlog_table[Year_Week_Number],"&gt;="&amp;$K$3,Errorlog_table[Year_Week_Number],"&lt;="&amp;$C$4)</f>
        <v>0</v>
      </c>
      <c r="S74" s="130">
        <f>COUNTIFS(Errorlog_table[AIR],MTBF_pareto[[#This Row],[AIR]],Errorlog_table[U_Hits],"Y",Errorlog_table[Year_Week_Number],"&gt;="&amp;$K$3,Errorlog_table[Year_Week_Number],"&lt;="&amp;$C$4)</f>
        <v>0</v>
      </c>
      <c r="T74" s="130">
        <f>COUNTIFS(Errorlog_table[AIR],MTBF_pareto[[#This Row],[AIR]],Errorlog_table[P_Hits],"Y",Errorlog_table[Year_Week_Number],"&gt;="&amp;$K$3,Errorlog_table[Year_Week_Number],"&lt;="&amp;$C$4,Errorlog_table[System],$K$1)</f>
        <v>0</v>
      </c>
      <c r="U74" s="130">
        <f>COUNTIFS(Errorlog_table[AIR],MTBF_pareto[[#This Row],[AIR]],Errorlog_table[U_Hits],"Y",Errorlog_table[Year_Week_Number],"&gt;="&amp;$K$3,Errorlog_table[Year_Week_Number],"&lt;="&amp;$C$4,Errorlog_table[System],$K$1)</f>
        <v>0</v>
      </c>
      <c r="V74" s="2"/>
      <c r="W74" s="130" t="s">
        <v>581</v>
      </c>
      <c r="X74" s="133" t="str">
        <f>_xlfn.XLOOKUP(MTBF_pareto[[#This Row],[AIR]],AIR_dump[Number],AIR_dump[Amb Work notes],"not on amb list",0)</f>
        <v/>
      </c>
    </row>
    <row r="75" spans="1:24" hidden="1">
      <c r="A75" s="170" t="s">
        <v>988</v>
      </c>
      <c r="B75" s="170" t="str">
        <f>_xlfn.XLOOKUP(C75,Errorlog_table[AIR],Errorlog_table[Root_Error],"not found",0,-1)</f>
        <v>not found</v>
      </c>
      <c r="C75" s="15" t="s">
        <v>1101</v>
      </c>
      <c r="D75" s="15" t="str">
        <f>_xlfn.XLOOKUP(MTBF_pareto[[#This Row],[AIR]],AIR_dump[Number],AIR_dump[Project lead],"N/A",0)</f>
        <v>OBOI</v>
      </c>
      <c r="E75"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75"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75"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5" s="123" t="str">
        <f>_xlfn.XLOOKUP(C75,Errorlog_table[AIR],Errorlog_table[Description],"not found",0,-1)</f>
        <v>not found</v>
      </c>
      <c r="I75" s="123" t="s">
        <v>1004</v>
      </c>
      <c r="J75"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5"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5"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5"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5" s="2">
        <f>MTBF_pareto[[#This Row],[Main Customer]]+MTBF_pareto[[#This Row],[Other Customer1]]+MTBF_pareto[[#This Row],[Other Customer2]]</f>
        <v>0</v>
      </c>
      <c r="O75" s="2">
        <f>IF(MTBF_pareto[[#This Row],[Status]]="Solved",MTBF_pareto[[#This Row],[Downtime solved]],IF(MTBF_pareto[[#This Row],[Status]]="Open",MTBF_pareto[[#This Row],[Downtime open]],MTBF_pareto[[#This Row],[Downtime planned]]))</f>
        <v>0</v>
      </c>
      <c r="P75" s="123" t="str" cm="1">
        <f t="array" ref="P75">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5" s="131" t="str" cm="1">
        <f t="array" ref="Q75">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5" s="2">
        <f>COUNTIFS(Errorlog_table[AIR],MTBF_pareto[[#This Row],[AIR]],Errorlog_table[P_Hits],"Y",Errorlog_table[Year_Week_Number],"&gt;="&amp;$K$3,Errorlog_table[Year_Week_Number],"&lt;="&amp;$C$4)</f>
        <v>0</v>
      </c>
      <c r="S75" s="2">
        <f>COUNTIFS(Errorlog_table[AIR],MTBF_pareto[[#This Row],[AIR]],Errorlog_table[U_Hits],"Y",Errorlog_table[Year_Week_Number],"&gt;="&amp;$K$3,Errorlog_table[Year_Week_Number],"&lt;="&amp;$C$4)</f>
        <v>0</v>
      </c>
      <c r="T75" s="2">
        <f>COUNTIFS(Errorlog_table[AIR],MTBF_pareto[[#This Row],[AIR]],Errorlog_table[P_Hits],"Y",Errorlog_table[Year_Week_Number],"&gt;="&amp;$K$3,Errorlog_table[Year_Week_Number],"&lt;="&amp;$C$4,Errorlog_table[System],$K$1)</f>
        <v>0</v>
      </c>
      <c r="U75" s="2">
        <f>COUNTIFS(Errorlog_table[AIR],MTBF_pareto[[#This Row],[AIR]],Errorlog_table[U_Hits],"Y",Errorlog_table[Year_Week_Number],"&gt;="&amp;$K$3,Errorlog_table[Year_Week_Number],"&lt;="&amp;$C$4,Errorlog_table[System],$K$1)</f>
        <v>0</v>
      </c>
      <c r="V75" s="2"/>
      <c r="W75" s="2" t="s">
        <v>581</v>
      </c>
      <c r="X75" s="123" t="str">
        <f>_xlfn.XLOOKUP(MTBF_pareto[[#This Row],[AIR]],AIR_dump[Number],AIR_dump[Amb Work notes],"not on amb list",0)</f>
        <v xml:space="preserve">2439.1 18:40:46 - Shravan Rajagopalan (Amb Work notes)
Move coverage to leading AIR P803536
</v>
      </c>
    </row>
    <row r="76" spans="1:24" hidden="1">
      <c r="A76" s="170" t="s">
        <v>988</v>
      </c>
      <c r="B76" s="171" t="str">
        <f>_xlfn.XLOOKUP(C76,Errorlog_table[AIR],Errorlog_table[Root_Error],"not found",0,-1)</f>
        <v>not found</v>
      </c>
      <c r="C76" s="15" t="s">
        <v>1102</v>
      </c>
      <c r="D76" s="15" t="str">
        <f>_xlfn.XLOOKUP(MTBF_pareto[[#This Row],[AIR]],AIR_dump[Number],AIR_dump[Project lead],"N/A",0)</f>
        <v>THID</v>
      </c>
      <c r="E76"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76"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76"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6" s="133" t="str">
        <f>_xlfn.XLOOKUP(C76,Errorlog_table[AIR],Errorlog_table[Description],"not found",0,-1)</f>
        <v>not found</v>
      </c>
      <c r="I76" s="123" t="s">
        <v>1004</v>
      </c>
      <c r="J76"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6"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6"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6"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6" s="130">
        <f>MTBF_pareto[[#This Row],[Main Customer]]+MTBF_pareto[[#This Row],[Other Customer1]]+MTBF_pareto[[#This Row],[Other Customer2]]</f>
        <v>0</v>
      </c>
      <c r="O76" s="130">
        <f>IF(MTBF_pareto[[#This Row],[Status]]="Solved",MTBF_pareto[[#This Row],[Downtime solved]],IF(MTBF_pareto[[#This Row],[Status]]="Open",MTBF_pareto[[#This Row],[Downtime open]],MTBF_pareto[[#This Row],[Downtime planned]]))</f>
        <v>0</v>
      </c>
      <c r="P76" s="133" t="str" cm="1">
        <f t="array" ref="P76">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6" s="134" t="str" cm="1">
        <f t="array" ref="Q76">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6" s="130">
        <f>COUNTIFS(Errorlog_table[AIR],MTBF_pareto[[#This Row],[AIR]],Errorlog_table[P_Hits],"Y",Errorlog_table[Year_Week_Number],"&gt;="&amp;$K$3,Errorlog_table[Year_Week_Number],"&lt;="&amp;$C$4)</f>
        <v>0</v>
      </c>
      <c r="S76" s="130">
        <f>COUNTIFS(Errorlog_table[AIR],MTBF_pareto[[#This Row],[AIR]],Errorlog_table[U_Hits],"Y",Errorlog_table[Year_Week_Number],"&gt;="&amp;$K$3,Errorlog_table[Year_Week_Number],"&lt;="&amp;$C$4)</f>
        <v>0</v>
      </c>
      <c r="T76" s="130">
        <f>COUNTIFS(Errorlog_table[AIR],MTBF_pareto[[#This Row],[AIR]],Errorlog_table[P_Hits],"Y",Errorlog_table[Year_Week_Number],"&gt;="&amp;$K$3,Errorlog_table[Year_Week_Number],"&lt;="&amp;$C$4,Errorlog_table[System],$K$1)</f>
        <v>0</v>
      </c>
      <c r="U76" s="130">
        <f>COUNTIFS(Errorlog_table[AIR],MTBF_pareto[[#This Row],[AIR]],Errorlog_table[U_Hits],"Y",Errorlog_table[Year_Week_Number],"&gt;="&amp;$K$3,Errorlog_table[Year_Week_Number],"&lt;="&amp;$C$4,Errorlog_table[System],$K$1)</f>
        <v>0</v>
      </c>
      <c r="V76" s="2"/>
      <c r="W76" s="130" t="s">
        <v>581</v>
      </c>
      <c r="X76" s="133" t="str">
        <f>_xlfn.XLOOKUP(MTBF_pareto[[#This Row],[AIR]],AIR_dump[Number],AIR_dump[Amb Work notes],"not on amb list",0)</f>
        <v/>
      </c>
    </row>
    <row r="77" spans="1:24">
      <c r="A77" s="170" t="s">
        <v>994</v>
      </c>
      <c r="B77" s="171" t="str">
        <f>_xlfn.XLOOKUP(C77,Errorlog_table[AIR],Errorlog_table[Root_Error],"not found",0,-1)</f>
        <v>not found</v>
      </c>
      <c r="C77" s="15" t="s">
        <v>1103</v>
      </c>
      <c r="D77" s="15" t="str">
        <f>_xlfn.XLOOKUP(MTBF_pareto[[#This Row],[AIR]],AIR_dump[Number],AIR_dump[Project lead],"N/A",0)</f>
        <v>RABG</v>
      </c>
      <c r="E77"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77"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77"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7" s="133" t="str">
        <f>_xlfn.XLOOKUP(C77,Errorlog_table[AIR],Errorlog_table[Description],"not found",0,-1)</f>
        <v>not found</v>
      </c>
      <c r="I77" s="123" t="s">
        <v>1104</v>
      </c>
      <c r="J77"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7"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7"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7"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7" s="130">
        <f>MTBF_pareto[[#This Row],[Main Customer]]+MTBF_pareto[[#This Row],[Other Customer1]]+MTBF_pareto[[#This Row],[Other Customer2]]</f>
        <v>0</v>
      </c>
      <c r="O77" s="130">
        <f>IF(MTBF_pareto[[#This Row],[Status]]="Solved",MTBF_pareto[[#This Row],[Downtime solved]],IF(MTBF_pareto[[#This Row],[Status]]="Open",MTBF_pareto[[#This Row],[Downtime open]],MTBF_pareto[[#This Row],[Downtime planned]]))</f>
        <v>0</v>
      </c>
      <c r="P77" s="133" t="str" cm="1">
        <f t="array" ref="P77">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7" s="134" t="str" cm="1">
        <f t="array" ref="Q77">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7" s="130">
        <f>COUNTIFS(Errorlog_table[AIR],MTBF_pareto[[#This Row],[AIR]],Errorlog_table[P_Hits],"Y",Errorlog_table[Year_Week_Number],"&gt;="&amp;$K$3,Errorlog_table[Year_Week_Number],"&lt;="&amp;$C$4)</f>
        <v>0</v>
      </c>
      <c r="S77" s="130">
        <f>COUNTIFS(Errorlog_table[AIR],MTBF_pareto[[#This Row],[AIR]],Errorlog_table[U_Hits],"Y",Errorlog_table[Year_Week_Number],"&gt;="&amp;$K$3,Errorlog_table[Year_Week_Number],"&lt;="&amp;$C$4)</f>
        <v>0</v>
      </c>
      <c r="T77" s="130">
        <f>COUNTIFS(Errorlog_table[AIR],MTBF_pareto[[#This Row],[AIR]],Errorlog_table[P_Hits],"Y",Errorlog_table[Year_Week_Number],"&gt;="&amp;$K$3,Errorlog_table[Year_Week_Number],"&lt;="&amp;$C$4,Errorlog_table[System],$K$1)</f>
        <v>0</v>
      </c>
      <c r="U77" s="130">
        <f>COUNTIFS(Errorlog_table[AIR],MTBF_pareto[[#This Row],[AIR]],Errorlog_table[U_Hits],"Y",Errorlog_table[Year_Week_Number],"&gt;="&amp;$K$3,Errorlog_table[Year_Week_Number],"&lt;="&amp;$C$4,Errorlog_table[System],$K$1)</f>
        <v>0</v>
      </c>
      <c r="V77" s="130"/>
      <c r="W77" s="130" t="s">
        <v>581</v>
      </c>
      <c r="X77" s="133" t="str">
        <f>_xlfn.XLOOKUP(MTBF_pareto[[#This Row],[AIR]],AIR_dump[Number],AIR_dump[Amb Work notes],"not on amb list",0)</f>
        <v xml:space="preserve">2502.3 14:07:23 - Shravan Rajagopalan (Amb Work notes)
If no hits seen before wk4, remove from Reliab list
2452.2 15:29:03 - Shravan Rajagopalan (Amb Work notes)
wk50.3: Real time tracing added to tool. Monitor for next hit
wk49.3: Need to check if data collection can be implemented on mEZ60 
Wk48.3: Request shared towards Av team to gather more data. Involve D&amp;E onsite to also help with collecting data 
wk48: Intake ongoing.
</v>
      </c>
    </row>
    <row r="78" spans="1:24">
      <c r="A78" s="170" t="s">
        <v>994</v>
      </c>
      <c r="B78" s="171" t="str">
        <f>_xlfn.XLOOKUP(C78,Errorlog_table[AIR],Errorlog_table[Root_Error],"not found",0,-1)</f>
        <v>not found</v>
      </c>
      <c r="C78" s="15" t="s">
        <v>1105</v>
      </c>
      <c r="D78" s="15" t="str">
        <f>_xlfn.XLOOKUP(MTBF_pareto[[#This Row],[AIR]],AIR_dump[Number],AIR_dump[Project lead],"N/A",0)</f>
        <v>THID</v>
      </c>
      <c r="E78"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78"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78"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8" s="133" t="str">
        <f>_xlfn.XLOOKUP(C78,Errorlog_table[AIR],Errorlog_table[Description],"not found",0,-1)</f>
        <v>not found</v>
      </c>
      <c r="I78" s="123" t="s">
        <v>1013</v>
      </c>
      <c r="J78"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8"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8"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8"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8" s="130">
        <f>MTBF_pareto[[#This Row],[Main Customer]]+MTBF_pareto[[#This Row],[Other Customer1]]+MTBF_pareto[[#This Row],[Other Customer2]]</f>
        <v>0</v>
      </c>
      <c r="O78" s="130">
        <f>IF(MTBF_pareto[[#This Row],[Status]]="Solved",MTBF_pareto[[#This Row],[Downtime solved]],IF(MTBF_pareto[[#This Row],[Status]]="Open",MTBF_pareto[[#This Row],[Downtime open]],MTBF_pareto[[#This Row],[Downtime planned]]))</f>
        <v>0</v>
      </c>
      <c r="P78" s="133" t="str" cm="1">
        <f t="array" ref="P78">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8" s="134" t="str" cm="1">
        <f t="array" ref="Q78">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8" s="130">
        <f>COUNTIFS(Errorlog_table[AIR],MTBF_pareto[[#This Row],[AIR]],Errorlog_table[P_Hits],"Y",Errorlog_table[Year_Week_Number],"&gt;="&amp;$K$3,Errorlog_table[Year_Week_Number],"&lt;="&amp;$C$4)</f>
        <v>0</v>
      </c>
      <c r="S78" s="130">
        <f>COUNTIFS(Errorlog_table[AIR],MTBF_pareto[[#This Row],[AIR]],Errorlog_table[U_Hits],"Y",Errorlog_table[Year_Week_Number],"&gt;="&amp;$K$3,Errorlog_table[Year_Week_Number],"&lt;="&amp;$C$4)</f>
        <v>0</v>
      </c>
      <c r="T78" s="130">
        <f>COUNTIFS(Errorlog_table[AIR],MTBF_pareto[[#This Row],[AIR]],Errorlog_table[P_Hits],"Y",Errorlog_table[Year_Week_Number],"&gt;="&amp;$K$3,Errorlog_table[Year_Week_Number],"&lt;="&amp;$C$4,Errorlog_table[System],$K$1)</f>
        <v>0</v>
      </c>
      <c r="U78" s="130">
        <f>COUNTIFS(Errorlog_table[AIR],MTBF_pareto[[#This Row],[AIR]],Errorlog_table[U_Hits],"Y",Errorlog_table[Year_Week_Number],"&gt;="&amp;$K$3,Errorlog_table[Year_Week_Number],"&lt;="&amp;$C$4,Errorlog_table[System],$K$1)</f>
        <v>0</v>
      </c>
      <c r="V78" s="2"/>
      <c r="W78" s="130" t="s">
        <v>581</v>
      </c>
      <c r="X78" s="133" t="str">
        <f>_xlfn.XLOOKUP(MTBF_pareto[[#This Row],[AIR]],AIR_dump[Number],AIR_dump[Amb Work notes],"not on amb list",0)</f>
        <v xml:space="preserve">2452.2 15:40:57 - Shravan Rajagopalan (Amb Work notes)
[intake 2440]
wk46.5: SRGC to check with SE how to solve this since it is Track related
</v>
      </c>
    </row>
    <row r="79" spans="1:24">
      <c r="A79" s="170" t="s">
        <v>994</v>
      </c>
      <c r="B79" s="171" t="str">
        <f>_xlfn.XLOOKUP(C79,Errorlog_table[AIR],Errorlog_table[Root_Error],"not found",0,-1)</f>
        <v>not found</v>
      </c>
      <c r="C79" s="15" t="s">
        <v>1106</v>
      </c>
      <c r="D79" s="15" t="str">
        <f>_xlfn.XLOOKUP(MTBF_pareto[[#This Row],[AIR]],AIR_dump[Number],AIR_dump[Project lead],"N/A",0)</f>
        <v>N/A</v>
      </c>
      <c r="E79"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79"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79"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9" s="133" t="str">
        <f>_xlfn.XLOOKUP(C79,Errorlog_table[AIR],Errorlog_table[Description],"not found",0,-1)</f>
        <v>not found</v>
      </c>
      <c r="I79" s="123" t="s">
        <v>1013</v>
      </c>
      <c r="J79"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9"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9"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9"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9" s="130">
        <f>MTBF_pareto[[#This Row],[Main Customer]]+MTBF_pareto[[#This Row],[Other Customer1]]+MTBF_pareto[[#This Row],[Other Customer2]]</f>
        <v>0</v>
      </c>
      <c r="O79" s="130">
        <f>IF(MTBF_pareto[[#This Row],[Status]]="Solved",MTBF_pareto[[#This Row],[Downtime solved]],IF(MTBF_pareto[[#This Row],[Status]]="Open",MTBF_pareto[[#This Row],[Downtime open]],MTBF_pareto[[#This Row],[Downtime planned]]))</f>
        <v>0</v>
      </c>
      <c r="P79" s="133" t="str" cm="1">
        <f t="array" ref="P79">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9" s="134" t="str" cm="1">
        <f t="array" ref="Q79">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9" s="130">
        <f>COUNTIFS(Errorlog_table[AIR],MTBF_pareto[[#This Row],[AIR]],Errorlog_table[P_Hits],"Y",Errorlog_table[Year_Week_Number],"&gt;="&amp;$K$3,Errorlog_table[Year_Week_Number],"&lt;="&amp;$C$4)</f>
        <v>0</v>
      </c>
      <c r="S79" s="130">
        <f>COUNTIFS(Errorlog_table[AIR],MTBF_pareto[[#This Row],[AIR]],Errorlog_table[U_Hits],"Y",Errorlog_table[Year_Week_Number],"&gt;="&amp;$K$3,Errorlog_table[Year_Week_Number],"&lt;="&amp;$C$4)</f>
        <v>0</v>
      </c>
      <c r="T79" s="130">
        <f>COUNTIFS(Errorlog_table[AIR],MTBF_pareto[[#This Row],[AIR]],Errorlog_table[P_Hits],"Y",Errorlog_table[Year_Week_Number],"&gt;="&amp;$K$3,Errorlog_table[Year_Week_Number],"&lt;="&amp;$C$4,Errorlog_table[System],$K$1)</f>
        <v>0</v>
      </c>
      <c r="U79" s="130">
        <f>COUNTIFS(Errorlog_table[AIR],MTBF_pareto[[#This Row],[AIR]],Errorlog_table[U_Hits],"Y",Errorlog_table[Year_Week_Number],"&gt;="&amp;$K$3,Errorlog_table[Year_Week_Number],"&lt;="&amp;$C$4,Errorlog_table[System],$K$1)</f>
        <v>0</v>
      </c>
      <c r="V79" s="2"/>
      <c r="W79" s="130" t="s">
        <v>581</v>
      </c>
      <c r="X79" s="133" t="str">
        <f>_xlfn.XLOOKUP(MTBF_pareto[[#This Row],[AIR]],AIR_dump[Number],AIR_dump[Amb Work notes],"not on amb list",0)</f>
        <v>not on amb list</v>
      </c>
    </row>
    <row r="80" spans="1:24" hidden="1">
      <c r="A80" s="170" t="s">
        <v>988</v>
      </c>
      <c r="B80" s="171" t="str">
        <f>_xlfn.XLOOKUP(C80,Errorlog_table[AIR],Errorlog_table[Root_Error],"not found",0,-1)</f>
        <v>not found</v>
      </c>
      <c r="C80" s="15" t="s">
        <v>1107</v>
      </c>
      <c r="D80" s="15" t="str">
        <f>_xlfn.XLOOKUP(MTBF_pareto[[#This Row],[AIR]],AIR_dump[Number],AIR_dump[Project lead],"N/A",0)</f>
        <v>SDOO</v>
      </c>
      <c r="E80"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80"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80"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80" s="133" t="str">
        <f>_xlfn.XLOOKUP(C80,Errorlog_table[AIR],Errorlog_table[Description],"not found",0,-1)</f>
        <v>not found</v>
      </c>
      <c r="I80" s="123" t="s">
        <v>1108</v>
      </c>
      <c r="J80"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0"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0"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0"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0" s="130">
        <f>MTBF_pareto[[#This Row],[Main Customer]]+MTBF_pareto[[#This Row],[Other Customer1]]+MTBF_pareto[[#This Row],[Other Customer2]]</f>
        <v>0</v>
      </c>
      <c r="O80" s="130">
        <f>IF(MTBF_pareto[[#This Row],[Status]]="Solved",MTBF_pareto[[#This Row],[Downtime solved]],IF(MTBF_pareto[[#This Row],[Status]]="Open",MTBF_pareto[[#This Row],[Downtime open]],MTBF_pareto[[#This Row],[Downtime planned]]))</f>
        <v>0</v>
      </c>
      <c r="P80" s="133" t="str" cm="1">
        <f t="array" ref="P80">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0" s="134" t="str" cm="1">
        <f t="array" ref="Q80">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0" s="130">
        <f>COUNTIFS(Errorlog_table[AIR],MTBF_pareto[[#This Row],[AIR]],Errorlog_table[P_Hits],"Y",Errorlog_table[Year_Week_Number],"&gt;="&amp;$K$3,Errorlog_table[Year_Week_Number],"&lt;="&amp;$C$4)</f>
        <v>0</v>
      </c>
      <c r="S80" s="130">
        <f>COUNTIFS(Errorlog_table[AIR],MTBF_pareto[[#This Row],[AIR]],Errorlog_table[U_Hits],"Y",Errorlog_table[Year_Week_Number],"&gt;="&amp;$K$3,Errorlog_table[Year_Week_Number],"&lt;="&amp;$C$4)</f>
        <v>0</v>
      </c>
      <c r="T80" s="130">
        <f>COUNTIFS(Errorlog_table[AIR],MTBF_pareto[[#This Row],[AIR]],Errorlog_table[P_Hits],"Y",Errorlog_table[Year_Week_Number],"&gt;="&amp;$K$3,Errorlog_table[Year_Week_Number],"&lt;="&amp;$C$4,Errorlog_table[System],$K$1)</f>
        <v>0</v>
      </c>
      <c r="U80" s="130">
        <f>COUNTIFS(Errorlog_table[AIR],MTBF_pareto[[#This Row],[AIR]],Errorlog_table[U_Hits],"Y",Errorlog_table[Year_Week_Number],"&gt;="&amp;$K$3,Errorlog_table[Year_Week_Number],"&lt;="&amp;$C$4,Errorlog_table[System],$K$1)</f>
        <v>0</v>
      </c>
      <c r="V80" s="2"/>
      <c r="W80" s="130" t="s">
        <v>581</v>
      </c>
      <c r="X80" s="133" t="str">
        <f>_xlfn.XLOOKUP(MTBF_pareto[[#This Row],[AIR]],AIR_dump[Number],AIR_dump[Amb Work notes],"not on amb list",0)</f>
        <v/>
      </c>
    </row>
    <row r="81" spans="1:24" hidden="1">
      <c r="A81" s="170" t="s">
        <v>988</v>
      </c>
      <c r="B81" s="170" t="str">
        <f>_xlfn.XLOOKUP(C81,Errorlog_table[AIR],Errorlog_table[Root_Error],"not found",0,-1)</f>
        <v>not found</v>
      </c>
      <c r="C81" s="15" t="s">
        <v>1109</v>
      </c>
      <c r="D81" s="15" t="str">
        <f>_xlfn.XLOOKUP(MTBF_pareto[[#This Row],[AIR]],AIR_dump[Number],AIR_dump[Project lead],"N/A",0)</f>
        <v>SDOO</v>
      </c>
      <c r="E81"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81"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81"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81" s="123" t="str">
        <f>_xlfn.XLOOKUP(C81,Errorlog_table[AIR],Errorlog_table[Description],"not found",0,-1)</f>
        <v>not found</v>
      </c>
      <c r="I81" s="123" t="s">
        <v>1110</v>
      </c>
      <c r="J81"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1"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1"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1"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1" s="2">
        <f>MTBF_pareto[[#This Row],[Main Customer]]+MTBF_pareto[[#This Row],[Other Customer1]]+MTBF_pareto[[#This Row],[Other Customer2]]</f>
        <v>0</v>
      </c>
      <c r="O81" s="2">
        <f>IF(MTBF_pareto[[#This Row],[Status]]="Solved",MTBF_pareto[[#This Row],[Downtime solved]],IF(MTBF_pareto[[#This Row],[Status]]="Open",MTBF_pareto[[#This Row],[Downtime open]],MTBF_pareto[[#This Row],[Downtime planned]]))</f>
        <v>0</v>
      </c>
      <c r="P81" s="123" t="str" cm="1">
        <f t="array" ref="P81">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1" s="131" t="str" cm="1">
        <f t="array" ref="Q81">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1" s="2">
        <f>COUNTIFS(Errorlog_table[AIR],MTBF_pareto[[#This Row],[AIR]],Errorlog_table[P_Hits],"Y",Errorlog_table[Year_Week_Number],"&gt;="&amp;$K$3,Errorlog_table[Year_Week_Number],"&lt;="&amp;$C$4)</f>
        <v>0</v>
      </c>
      <c r="S81" s="2">
        <f>COUNTIFS(Errorlog_table[AIR],MTBF_pareto[[#This Row],[AIR]],Errorlog_table[U_Hits],"Y",Errorlog_table[Year_Week_Number],"&gt;="&amp;$K$3,Errorlog_table[Year_Week_Number],"&lt;="&amp;$C$4)</f>
        <v>0</v>
      </c>
      <c r="T81" s="2">
        <f>COUNTIFS(Errorlog_table[AIR],MTBF_pareto[[#This Row],[AIR]],Errorlog_table[P_Hits],"Y",Errorlog_table[Year_Week_Number],"&gt;="&amp;$K$3,Errorlog_table[Year_Week_Number],"&lt;="&amp;$C$4,Errorlog_table[System],$K$1)</f>
        <v>0</v>
      </c>
      <c r="U81" s="2">
        <f>COUNTIFS(Errorlog_table[AIR],MTBF_pareto[[#This Row],[AIR]],Errorlog_table[U_Hits],"Y",Errorlog_table[Year_Week_Number],"&gt;="&amp;$K$3,Errorlog_table[Year_Week_Number],"&lt;="&amp;$C$4,Errorlog_table[System],$K$1)</f>
        <v>0</v>
      </c>
      <c r="V81" s="2"/>
      <c r="W81" s="2" t="s">
        <v>581</v>
      </c>
      <c r="X81" s="123" t="str">
        <f>_xlfn.XLOOKUP(MTBF_pareto[[#This Row],[AIR]],AIR_dump[Number],AIR_dump[Amb Work notes],"not on amb list",0)</f>
        <v/>
      </c>
    </row>
    <row r="82" spans="1:24" hidden="1">
      <c r="A82" s="170" t="s">
        <v>988</v>
      </c>
      <c r="B82" s="170" t="str">
        <f>_xlfn.XLOOKUP(C82,Errorlog_table[AIR],Errorlog_table[Root_Error],"not found",0,-1)</f>
        <v>not found</v>
      </c>
      <c r="C82" s="15" t="s">
        <v>1111</v>
      </c>
      <c r="D82" s="15" t="str">
        <f>_xlfn.XLOOKUP(MTBF_pareto[[#This Row],[AIR]],AIR_dump[Number],AIR_dump[Project lead],"N/A",0)</f>
        <v>STRK</v>
      </c>
      <c r="E82"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82"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82"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82" s="123" t="str">
        <f>_xlfn.XLOOKUP(C82,Errorlog_table[AIR],Errorlog_table[Description],"not found",0,-1)</f>
        <v>not found</v>
      </c>
      <c r="I82" s="123" t="s">
        <v>1112</v>
      </c>
      <c r="J82"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2"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2"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2"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2" s="2">
        <f>MTBF_pareto[[#This Row],[Main Customer]]+MTBF_pareto[[#This Row],[Other Customer1]]+MTBF_pareto[[#This Row],[Other Customer2]]</f>
        <v>0</v>
      </c>
      <c r="O82" s="2">
        <f>IF(MTBF_pareto[[#This Row],[Status]]="Solved",MTBF_pareto[[#This Row],[Downtime solved]],IF(MTBF_pareto[[#This Row],[Status]]="Open",MTBF_pareto[[#This Row],[Downtime open]],MTBF_pareto[[#This Row],[Downtime planned]]))</f>
        <v>0</v>
      </c>
      <c r="P82" s="123" t="str" cm="1">
        <f t="array" ref="P82">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2" s="131" t="str" cm="1">
        <f t="array" ref="Q82">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2" s="2">
        <f>COUNTIFS(Errorlog_table[AIR],MTBF_pareto[[#This Row],[AIR]],Errorlog_table[P_Hits],"Y",Errorlog_table[Year_Week_Number],"&gt;="&amp;$K$3,Errorlog_table[Year_Week_Number],"&lt;="&amp;$C$4)</f>
        <v>0</v>
      </c>
      <c r="S82" s="2">
        <f>COUNTIFS(Errorlog_table[AIR],MTBF_pareto[[#This Row],[AIR]],Errorlog_table[U_Hits],"Y",Errorlog_table[Year_Week_Number],"&gt;="&amp;$K$3,Errorlog_table[Year_Week_Number],"&lt;="&amp;$C$4)</f>
        <v>0</v>
      </c>
      <c r="T82" s="2">
        <f>COUNTIFS(Errorlog_table[AIR],MTBF_pareto[[#This Row],[AIR]],Errorlog_table[P_Hits],"Y",Errorlog_table[Year_Week_Number],"&gt;="&amp;$K$3,Errorlog_table[Year_Week_Number],"&lt;="&amp;$C$4,Errorlog_table[System],$K$1)</f>
        <v>0</v>
      </c>
      <c r="U82" s="2">
        <f>COUNTIFS(Errorlog_table[AIR],MTBF_pareto[[#This Row],[AIR]],Errorlog_table[U_Hits],"Y",Errorlog_table[Year_Week_Number],"&gt;="&amp;$K$3,Errorlog_table[Year_Week_Number],"&lt;="&amp;$C$4,Errorlog_table[System],$K$1)</f>
        <v>0</v>
      </c>
      <c r="V82" s="2"/>
      <c r="W82" s="2" t="s">
        <v>990</v>
      </c>
      <c r="X82" s="123" t="str">
        <f>_xlfn.XLOOKUP(MTBF_pareto[[#This Row],[AIR]],AIR_dump[Number],AIR_dump[Amb Work notes],"not on amb list",0)</f>
        <v xml:space="preserve">2442.3 17:31:36 - Shravan Rajagopalan (Amb Work notes)
Issue occurred once in field 52921451
Total DT = 17hrs
Structural solution to solve 5hrs (remaining 12hrs to be solved via DDF implementation via P816813 &amp; P816810)
Total Av improvement = 5hrs * 1/yr = 5 hrs/sys/yr
</v>
      </c>
    </row>
    <row r="83" spans="1:24" hidden="1">
      <c r="A83" s="170" t="s">
        <v>988</v>
      </c>
      <c r="B83" s="171" t="str">
        <f>_xlfn.XLOOKUP(C83,Errorlog_table[AIR],Errorlog_table[Root_Error],"not found",0,-1)</f>
        <v>not found</v>
      </c>
      <c r="C83" s="15" t="s">
        <v>1113</v>
      </c>
      <c r="D83" s="15" t="str">
        <f>_xlfn.XLOOKUP(MTBF_pareto[[#This Row],[AIR]],AIR_dump[Number],AIR_dump[Project lead],"N/A",0)</f>
        <v>JKBC</v>
      </c>
      <c r="E83"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83"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83"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83" s="133" t="str">
        <f>_xlfn.XLOOKUP(C83,Errorlog_table[AIR],Errorlog_table[Description],"not found",0,-1)</f>
        <v>not found</v>
      </c>
      <c r="I83" s="123" t="s">
        <v>1114</v>
      </c>
      <c r="J83"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3"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3"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3"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3" s="130">
        <f>MTBF_pareto[[#This Row],[Main Customer]]+MTBF_pareto[[#This Row],[Other Customer1]]+MTBF_pareto[[#This Row],[Other Customer2]]</f>
        <v>0</v>
      </c>
      <c r="O83" s="130">
        <f>IF(MTBF_pareto[[#This Row],[Status]]="Solved",MTBF_pareto[[#This Row],[Downtime solved]],IF(MTBF_pareto[[#This Row],[Status]]="Open",MTBF_pareto[[#This Row],[Downtime open]],MTBF_pareto[[#This Row],[Downtime planned]]))</f>
        <v>0</v>
      </c>
      <c r="P83" s="133" t="str" cm="1">
        <f t="array" ref="P83">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3" s="134" t="str" cm="1">
        <f t="array" ref="Q83">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3" s="130">
        <f>COUNTIFS(Errorlog_table[AIR],MTBF_pareto[[#This Row],[AIR]],Errorlog_table[P_Hits],"Y",Errorlog_table[Year_Week_Number],"&gt;="&amp;$K$3,Errorlog_table[Year_Week_Number],"&lt;="&amp;$C$4)</f>
        <v>0</v>
      </c>
      <c r="S83" s="130">
        <f>COUNTIFS(Errorlog_table[AIR],MTBF_pareto[[#This Row],[AIR]],Errorlog_table[U_Hits],"Y",Errorlog_table[Year_Week_Number],"&gt;="&amp;$K$3,Errorlog_table[Year_Week_Number],"&lt;="&amp;$C$4)</f>
        <v>0</v>
      </c>
      <c r="T83" s="130">
        <f>COUNTIFS(Errorlog_table[AIR],MTBF_pareto[[#This Row],[AIR]],Errorlog_table[P_Hits],"Y",Errorlog_table[Year_Week_Number],"&gt;="&amp;$K$3,Errorlog_table[Year_Week_Number],"&lt;="&amp;$C$4,Errorlog_table[System],$K$1)</f>
        <v>0</v>
      </c>
      <c r="U83" s="130">
        <f>COUNTIFS(Errorlog_table[AIR],MTBF_pareto[[#This Row],[AIR]],Errorlog_table[U_Hits],"Y",Errorlog_table[Year_Week_Number],"&gt;="&amp;$K$3,Errorlog_table[Year_Week_Number],"&lt;="&amp;$C$4,Errorlog_table[System],$K$1)</f>
        <v>0</v>
      </c>
      <c r="V83" s="2"/>
      <c r="W83" s="130" t="s">
        <v>581</v>
      </c>
      <c r="X83" s="133" t="str">
        <f>_xlfn.XLOOKUP(MTBF_pareto[[#This Row],[AIR]],AIR_dump[Number],AIR_dump[Amb Work notes],"not on amb list",0)</f>
        <v/>
      </c>
    </row>
    <row r="84" spans="1:24" hidden="1">
      <c r="A84" s="170" t="s">
        <v>991</v>
      </c>
      <c r="B84" s="170" t="str">
        <f>_xlfn.XLOOKUP(C84,Errorlog_table[AIR],Errorlog_table[Root_Error],"not found",0,-1)</f>
        <v>not found</v>
      </c>
      <c r="C84" s="15" t="s">
        <v>1115</v>
      </c>
      <c r="D84" s="15" t="str">
        <f>_xlfn.XLOOKUP(MTBF_pareto[[#This Row],[AIR]],AIR_dump[Number],AIR_dump[Project lead],"N/A",0)</f>
        <v>MAQM</v>
      </c>
      <c r="E84"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84"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84" s="2">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H84" s="123" t="str">
        <f>_xlfn.XLOOKUP(C84,Errorlog_table[AIR],Errorlog_table[Description],"not found",0,-1)</f>
        <v>not found</v>
      </c>
      <c r="I84" s="123" t="s">
        <v>1116</v>
      </c>
      <c r="J84"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4"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4"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4"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4" s="2">
        <f>MTBF_pareto[[#This Row],[Main Customer]]+MTBF_pareto[[#This Row],[Other Customer1]]+MTBF_pareto[[#This Row],[Other Customer2]]</f>
        <v>0</v>
      </c>
      <c r="O84" s="2">
        <f>IF(MTBF_pareto[[#This Row],[Status]]="Solved",MTBF_pareto[[#This Row],[Downtime solved]],IF(MTBF_pareto[[#This Row],[Status]]="Open",MTBF_pareto[[#This Row],[Downtime open]],MTBF_pareto[[#This Row],[Downtime planned]]))</f>
        <v>0</v>
      </c>
      <c r="P84" s="123" t="str" cm="1">
        <f t="array" ref="P84">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4" s="131" t="str" cm="1">
        <f t="array" ref="Q84">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4" s="2">
        <f>COUNTIFS(Errorlog_table[AIR],MTBF_pareto[[#This Row],[AIR]],Errorlog_table[P_Hits],"Y",Errorlog_table[Year_Week_Number],"&gt;="&amp;$K$3,Errorlog_table[Year_Week_Number],"&lt;="&amp;$C$4)</f>
        <v>0</v>
      </c>
      <c r="S84" s="2">
        <f>COUNTIFS(Errorlog_table[AIR],MTBF_pareto[[#This Row],[AIR]],Errorlog_table[U_Hits],"Y",Errorlog_table[Year_Week_Number],"&gt;="&amp;$K$3,Errorlog_table[Year_Week_Number],"&lt;="&amp;$C$4)</f>
        <v>0</v>
      </c>
      <c r="T84" s="2">
        <f>COUNTIFS(Errorlog_table[AIR],MTBF_pareto[[#This Row],[AIR]],Errorlog_table[P_Hits],"Y",Errorlog_table[Year_Week_Number],"&gt;="&amp;$K$3,Errorlog_table[Year_Week_Number],"&lt;="&amp;$C$4,Errorlog_table[System],$K$1)</f>
        <v>0</v>
      </c>
      <c r="U84" s="2">
        <f>COUNTIFS(Errorlog_table[AIR],MTBF_pareto[[#This Row],[AIR]],Errorlog_table[U_Hits],"Y",Errorlog_table[Year_Week_Number],"&gt;="&amp;$K$3,Errorlog_table[Year_Week_Number],"&lt;="&amp;$C$4,Errorlog_table[System],$K$1)</f>
        <v>0</v>
      </c>
      <c r="V84" s="2">
        <v>2</v>
      </c>
      <c r="W84" s="2" t="s">
        <v>990</v>
      </c>
      <c r="X84" s="123" t="str">
        <f>_xlfn.XLOOKUP(MTBF_pareto[[#This Row],[AIR]],AIR_dump[Number],AIR_dump[Amb Work notes],"not on amb list",0)</f>
        <v xml:space="preserve">2503.3 13:58:11 - Isaac Castanedo Guerra (Amb Work notes)
Lifetime test is being performed at supplier. Solution is being implemented. Comeback wk5.3
2452.2 14:48:07 - Shravan Rajagopalan (Amb Work notes)
Wk51: Solution planned for 2513
</v>
      </c>
    </row>
    <row r="85" spans="1:24" hidden="1">
      <c r="A85" s="171" t="s">
        <v>988</v>
      </c>
      <c r="B85" s="171" t="str">
        <f>_xlfn.XLOOKUP(C85,Errorlog_table[AIR],Errorlog_table[Root_Error],"not found",0,-1)</f>
        <v>not found</v>
      </c>
      <c r="C85" s="15" t="s">
        <v>1117</v>
      </c>
      <c r="D85" s="15" t="str">
        <f>_xlfn.XLOOKUP(MTBF_pareto[[#This Row],[AIR]],AIR_dump[Number],AIR_dump[Project lead],"N/A",0)</f>
        <v>JBDX</v>
      </c>
      <c r="E85"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85"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85"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85" s="133" t="str">
        <f>_xlfn.XLOOKUP(C85,Errorlog_table[AIR],Errorlog_table[Description],"not found",0,-1)</f>
        <v>not found</v>
      </c>
      <c r="I85" s="133" t="s">
        <v>1118</v>
      </c>
      <c r="J85"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5"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5"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5"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5" s="130">
        <f>MTBF_pareto[[#This Row],[Main Customer]]+MTBF_pareto[[#This Row],[Other Customer1]]+MTBF_pareto[[#This Row],[Other Customer2]]</f>
        <v>0</v>
      </c>
      <c r="O85" s="130">
        <f>IF(MTBF_pareto[[#This Row],[Status]]="Solved",MTBF_pareto[[#This Row],[Downtime solved]],IF(MTBF_pareto[[#This Row],[Status]]="Open",MTBF_pareto[[#This Row],[Downtime open]],MTBF_pareto[[#This Row],[Downtime planned]]))</f>
        <v>0</v>
      </c>
      <c r="P85" s="133" t="str" cm="1">
        <f t="array" ref="P85">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5" s="134" t="str" cm="1">
        <f t="array" ref="Q85">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5" s="130">
        <f>COUNTIFS(Errorlog_table[AIR],MTBF_pareto[[#This Row],[AIR]],Errorlog_table[P_Hits],"Y",Errorlog_table[Year_Week_Number],"&gt;="&amp;$K$3,Errorlog_table[Year_Week_Number],"&lt;="&amp;$C$4)</f>
        <v>0</v>
      </c>
      <c r="S85" s="130">
        <f>COUNTIFS(Errorlog_table[AIR],MTBF_pareto[[#This Row],[AIR]],Errorlog_table[U_Hits],"Y",Errorlog_table[Year_Week_Number],"&gt;="&amp;$K$3,Errorlog_table[Year_Week_Number],"&lt;="&amp;$C$4)</f>
        <v>0</v>
      </c>
      <c r="T85" s="130">
        <f>COUNTIFS(Errorlog_table[AIR],MTBF_pareto[[#This Row],[AIR]],Errorlog_table[P_Hits],"Y",Errorlog_table[Year_Week_Number],"&gt;="&amp;$K$3,Errorlog_table[Year_Week_Number],"&lt;="&amp;$C$4,Errorlog_table[System],$K$1)</f>
        <v>0</v>
      </c>
      <c r="U85" s="130">
        <f>COUNTIFS(Errorlog_table[AIR],MTBF_pareto[[#This Row],[AIR]],Errorlog_table[U_Hits],"Y",Errorlog_table[Year_Week_Number],"&gt;="&amp;$K$3,Errorlog_table[Year_Week_Number],"&lt;="&amp;$C$4,Errorlog_table[System],$K$1)</f>
        <v>0</v>
      </c>
      <c r="V85" s="2">
        <v>3</v>
      </c>
      <c r="W85" s="130" t="s">
        <v>581</v>
      </c>
      <c r="X85" s="133" t="str">
        <f>_xlfn.XLOOKUP(MTBF_pareto[[#This Row],[AIR]],AIR_dump[Number],AIR_dump[Amb Work notes],"not on amb list",0)</f>
        <v/>
      </c>
    </row>
    <row r="86" spans="1:24">
      <c r="A86" s="171" t="s">
        <v>994</v>
      </c>
      <c r="B86" s="170" t="str">
        <f>_xlfn.XLOOKUP(C86,Errorlog_table[AIR],Errorlog_table[Root_Error],"not found",0,-1)</f>
        <v>not found</v>
      </c>
      <c r="C86" s="15" t="s">
        <v>1119</v>
      </c>
      <c r="D86" s="15" t="str">
        <f>_xlfn.XLOOKUP(MTBF_pareto[[#This Row],[AIR]],AIR_dump[Number],AIR_dump[Project lead],"N/A",0)</f>
        <v>RILI</v>
      </c>
      <c r="E86"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86"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86"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86" s="123" t="str">
        <f>_xlfn.XLOOKUP(C86,Errorlog_table[AIR],Errorlog_table[Description],"not found",0,-1)</f>
        <v>not found</v>
      </c>
      <c r="I86" s="123" t="s">
        <v>1013</v>
      </c>
      <c r="J86"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6"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6"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6"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6" s="2">
        <f>MTBF_pareto[[#This Row],[Main Customer]]+MTBF_pareto[[#This Row],[Other Customer1]]+MTBF_pareto[[#This Row],[Other Customer2]]</f>
        <v>0</v>
      </c>
      <c r="O86" s="2">
        <f>IF(MTBF_pareto[[#This Row],[Status]]="Solved",MTBF_pareto[[#This Row],[Downtime solved]],IF(MTBF_pareto[[#This Row],[Status]]="Open",MTBF_pareto[[#This Row],[Downtime open]],MTBF_pareto[[#This Row],[Downtime planned]]))</f>
        <v>0</v>
      </c>
      <c r="P86" s="123" t="str" cm="1">
        <f t="array" ref="P86">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6" s="131" t="str" cm="1">
        <f t="array" ref="Q86">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6" s="2">
        <f>COUNTIFS(Errorlog_table[AIR],MTBF_pareto[[#This Row],[AIR]],Errorlog_table[P_Hits],"Y",Errorlog_table[Year_Week_Number],"&gt;="&amp;$K$3,Errorlog_table[Year_Week_Number],"&lt;="&amp;$C$4)</f>
        <v>0</v>
      </c>
      <c r="S86" s="2">
        <f>COUNTIFS(Errorlog_table[AIR],MTBF_pareto[[#This Row],[AIR]],Errorlog_table[U_Hits],"Y",Errorlog_table[Year_Week_Number],"&gt;="&amp;$K$3,Errorlog_table[Year_Week_Number],"&lt;="&amp;$C$4)</f>
        <v>0</v>
      </c>
      <c r="T86" s="2">
        <f>COUNTIFS(Errorlog_table[AIR],MTBF_pareto[[#This Row],[AIR]],Errorlog_table[P_Hits],"Y",Errorlog_table[Year_Week_Number],"&gt;="&amp;$K$3,Errorlog_table[Year_Week_Number],"&lt;="&amp;$C$4,Errorlog_table[System],$K$1)</f>
        <v>0</v>
      </c>
      <c r="U86" s="2">
        <f>COUNTIFS(Errorlog_table[AIR],MTBF_pareto[[#This Row],[AIR]],Errorlog_table[U_Hits],"Y",Errorlog_table[Year_Week_Number],"&gt;="&amp;$K$3,Errorlog_table[Year_Week_Number],"&lt;="&amp;$C$4,Errorlog_table[System],$K$1)</f>
        <v>0</v>
      </c>
      <c r="V86" s="2"/>
      <c r="W86" s="2" t="s">
        <v>581</v>
      </c>
      <c r="X86" s="123" t="str">
        <f>_xlfn.XLOOKUP(MTBF_pareto[[#This Row],[AIR]],AIR_dump[Number],AIR_dump[Amb Work notes],"not on amb list",0)</f>
        <v/>
      </c>
    </row>
    <row r="87" spans="1:24">
      <c r="A87" s="171" t="s">
        <v>994</v>
      </c>
      <c r="B87" s="171" t="str">
        <f>_xlfn.XLOOKUP(C87,Errorlog_table[AIR],Errorlog_table[Root_Error],"not found",0,-1)</f>
        <v>not found</v>
      </c>
      <c r="C87" s="15" t="s">
        <v>1120</v>
      </c>
      <c r="D87" s="15" t="str">
        <f>_xlfn.XLOOKUP(MTBF_pareto[[#This Row],[AIR]],AIR_dump[Number],AIR_dump[Project lead],"N/A",0)</f>
        <v>N/A</v>
      </c>
      <c r="E87"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87"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87"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87" s="133" t="str">
        <f>_xlfn.XLOOKUP(C87,Errorlog_table[AIR],Errorlog_table[Description],"not found",0,-1)</f>
        <v>not found</v>
      </c>
      <c r="I87" s="123" t="s">
        <v>1027</v>
      </c>
      <c r="J87"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7"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7"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7"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7" s="130">
        <f>MTBF_pareto[[#This Row],[Main Customer]]+MTBF_pareto[[#This Row],[Other Customer1]]+MTBF_pareto[[#This Row],[Other Customer2]]</f>
        <v>0</v>
      </c>
      <c r="O87" s="130">
        <f>IF(MTBF_pareto[[#This Row],[Status]]="Solved",MTBF_pareto[[#This Row],[Downtime solved]],IF(MTBF_pareto[[#This Row],[Status]]="Open",MTBF_pareto[[#This Row],[Downtime open]],MTBF_pareto[[#This Row],[Downtime planned]]))</f>
        <v>0</v>
      </c>
      <c r="P87" s="133" t="str" cm="1">
        <f t="array" ref="P87">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7" s="134" t="str" cm="1">
        <f t="array" ref="Q87">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7" s="130">
        <f>COUNTIFS(Errorlog_table[AIR],MTBF_pareto[[#This Row],[AIR]],Errorlog_table[P_Hits],"Y",Errorlog_table[Year_Week_Number],"&gt;="&amp;$K$3,Errorlog_table[Year_Week_Number],"&lt;="&amp;$C$4)</f>
        <v>0</v>
      </c>
      <c r="S87" s="130">
        <f>COUNTIFS(Errorlog_table[AIR],MTBF_pareto[[#This Row],[AIR]],Errorlog_table[U_Hits],"Y",Errorlog_table[Year_Week_Number],"&gt;="&amp;$K$3,Errorlog_table[Year_Week_Number],"&lt;="&amp;$C$4)</f>
        <v>0</v>
      </c>
      <c r="T87" s="130">
        <f>COUNTIFS(Errorlog_table[AIR],MTBF_pareto[[#This Row],[AIR]],Errorlog_table[P_Hits],"Y",Errorlog_table[Year_Week_Number],"&gt;="&amp;$K$3,Errorlog_table[Year_Week_Number],"&lt;="&amp;$C$4,Errorlog_table[System],$K$1)</f>
        <v>0</v>
      </c>
      <c r="U87" s="130">
        <f>COUNTIFS(Errorlog_table[AIR],MTBF_pareto[[#This Row],[AIR]],Errorlog_table[U_Hits],"Y",Errorlog_table[Year_Week_Number],"&gt;="&amp;$K$3,Errorlog_table[Year_Week_Number],"&lt;="&amp;$C$4,Errorlog_table[System],$K$1)</f>
        <v>0</v>
      </c>
      <c r="V87" s="2"/>
      <c r="W87" s="130" t="s">
        <v>581</v>
      </c>
      <c r="X87" s="133" t="str">
        <f>_xlfn.XLOOKUP(MTBF_pareto[[#This Row],[AIR]],AIR_dump[Number],AIR_dump[Amb Work notes],"not on amb list",0)</f>
        <v>not on amb list</v>
      </c>
    </row>
    <row r="88" spans="1:24">
      <c r="A88" s="171" t="s">
        <v>994</v>
      </c>
      <c r="B88" s="171" t="str">
        <f>_xlfn.XLOOKUP(C88,Errorlog_table[AIR],Errorlog_table[Root_Error],"not found",0,-1)</f>
        <v>not found</v>
      </c>
      <c r="C88" s="15" t="s">
        <v>1121</v>
      </c>
      <c r="D88" s="15" t="str">
        <f>_xlfn.XLOOKUP(MTBF_pareto[[#This Row],[AIR]],AIR_dump[Number],AIR_dump[Project lead],"N/A",0)</f>
        <v>THID</v>
      </c>
      <c r="E88"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88"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88"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88" s="133" t="str">
        <f>_xlfn.XLOOKUP(C88,Errorlog_table[AIR],Errorlog_table[Description],"not found",0,-1)</f>
        <v>not found</v>
      </c>
      <c r="I88" s="123" t="s">
        <v>1027</v>
      </c>
      <c r="J88"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8"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8"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8"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8" s="130">
        <f>MTBF_pareto[[#This Row],[Main Customer]]+MTBF_pareto[[#This Row],[Other Customer1]]+MTBF_pareto[[#This Row],[Other Customer2]]</f>
        <v>0</v>
      </c>
      <c r="O88" s="130">
        <f>IF(MTBF_pareto[[#This Row],[Status]]="Solved",MTBF_pareto[[#This Row],[Downtime solved]],IF(MTBF_pareto[[#This Row],[Status]]="Open",MTBF_pareto[[#This Row],[Downtime open]],MTBF_pareto[[#This Row],[Downtime planned]]))</f>
        <v>0</v>
      </c>
      <c r="P88" s="133" t="str" cm="1">
        <f t="array" ref="P88">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8" s="134" t="str" cm="1">
        <f t="array" ref="Q88">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8" s="130">
        <f>COUNTIFS(Errorlog_table[AIR],MTBF_pareto[[#This Row],[AIR]],Errorlog_table[P_Hits],"Y",Errorlog_table[Year_Week_Number],"&gt;="&amp;$K$3,Errorlog_table[Year_Week_Number],"&lt;="&amp;$C$4)</f>
        <v>0</v>
      </c>
      <c r="S88" s="130">
        <f>COUNTIFS(Errorlog_table[AIR],MTBF_pareto[[#This Row],[AIR]],Errorlog_table[U_Hits],"Y",Errorlog_table[Year_Week_Number],"&gt;="&amp;$K$3,Errorlog_table[Year_Week_Number],"&lt;="&amp;$C$4)</f>
        <v>0</v>
      </c>
      <c r="T88" s="130">
        <f>COUNTIFS(Errorlog_table[AIR],MTBF_pareto[[#This Row],[AIR]],Errorlog_table[P_Hits],"Y",Errorlog_table[Year_Week_Number],"&gt;="&amp;$K$3,Errorlog_table[Year_Week_Number],"&lt;="&amp;$C$4,Errorlog_table[System],$K$1)</f>
        <v>0</v>
      </c>
      <c r="U88" s="130">
        <f>COUNTIFS(Errorlog_table[AIR],MTBF_pareto[[#This Row],[AIR]],Errorlog_table[U_Hits],"Y",Errorlog_table[Year_Week_Number],"&gt;="&amp;$K$3,Errorlog_table[Year_Week_Number],"&lt;="&amp;$C$4,Errorlog_table[System],$K$1)</f>
        <v>0</v>
      </c>
      <c r="V88" s="2"/>
      <c r="W88" s="130" t="s">
        <v>581</v>
      </c>
      <c r="X88" s="133" t="str">
        <f>_xlfn.XLOOKUP(MTBF_pareto[[#This Row],[AIR]],AIR_dump[Number],AIR_dump[Amb Work notes],"not on amb list",0)</f>
        <v xml:space="preserve">2452.2 15:40:41 - Shravan Rajagopalan (Amb Work notes)
[intake 2449]
wk50.5: RC ongoing.
</v>
      </c>
    </row>
    <row r="89" spans="1:24">
      <c r="A89" s="171" t="s">
        <v>994</v>
      </c>
      <c r="B89" s="171" t="str">
        <f>_xlfn.XLOOKUP(C89,Errorlog_table[AIR],Errorlog_table[Root_Error],"not found",0,-1)</f>
        <v>not found</v>
      </c>
      <c r="C89" s="15" t="s">
        <v>1122</v>
      </c>
      <c r="D89" s="15" t="str">
        <f>_xlfn.XLOOKUP(MTBF_pareto[[#This Row],[AIR]],AIR_dump[Number],AIR_dump[Project lead],"N/A",0)</f>
        <v>STAT</v>
      </c>
      <c r="E89"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89"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89"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89" s="133" t="str">
        <f>_xlfn.XLOOKUP(C89,Errorlog_table[AIR],Errorlog_table[Description],"not found",0,-1)</f>
        <v>not found</v>
      </c>
      <c r="I89" s="123" t="s">
        <v>1015</v>
      </c>
      <c r="J89"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9"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9"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9"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9" s="130">
        <f>MTBF_pareto[[#This Row],[Main Customer]]+MTBF_pareto[[#This Row],[Other Customer1]]+MTBF_pareto[[#This Row],[Other Customer2]]</f>
        <v>0</v>
      </c>
      <c r="O89" s="130">
        <f>IF(MTBF_pareto[[#This Row],[Status]]="Solved",MTBF_pareto[[#This Row],[Downtime solved]],IF(MTBF_pareto[[#This Row],[Status]]="Open",MTBF_pareto[[#This Row],[Downtime open]],MTBF_pareto[[#This Row],[Downtime planned]]))</f>
        <v>0</v>
      </c>
      <c r="P89" s="133" t="str" cm="1">
        <f t="array" ref="P89">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9" s="134" t="str" cm="1">
        <f t="array" ref="Q89">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9" s="130">
        <f>COUNTIFS(Errorlog_table[AIR],MTBF_pareto[[#This Row],[AIR]],Errorlog_table[P_Hits],"Y",Errorlog_table[Year_Week_Number],"&gt;="&amp;$K$3,Errorlog_table[Year_Week_Number],"&lt;="&amp;$C$4)</f>
        <v>0</v>
      </c>
      <c r="S89" s="130">
        <f>COUNTIFS(Errorlog_table[AIR],MTBF_pareto[[#This Row],[AIR]],Errorlog_table[U_Hits],"Y",Errorlog_table[Year_Week_Number],"&gt;="&amp;$K$3,Errorlog_table[Year_Week_Number],"&lt;="&amp;$C$4)</f>
        <v>0</v>
      </c>
      <c r="T89" s="130">
        <f>COUNTIFS(Errorlog_table[AIR],MTBF_pareto[[#This Row],[AIR]],Errorlog_table[P_Hits],"Y",Errorlog_table[Year_Week_Number],"&gt;="&amp;$K$3,Errorlog_table[Year_Week_Number],"&lt;="&amp;$C$4,Errorlog_table[System],$K$1)</f>
        <v>0</v>
      </c>
      <c r="U89" s="130">
        <f>COUNTIFS(Errorlog_table[AIR],MTBF_pareto[[#This Row],[AIR]],Errorlog_table[U_Hits],"Y",Errorlog_table[Year_Week_Number],"&gt;="&amp;$K$3,Errorlog_table[Year_Week_Number],"&lt;="&amp;$C$4,Errorlog_table[System],$K$1)</f>
        <v>0</v>
      </c>
      <c r="V89" s="2">
        <v>3</v>
      </c>
      <c r="W89" s="130" t="s">
        <v>581</v>
      </c>
      <c r="X89" s="133" t="str">
        <f>_xlfn.XLOOKUP(MTBF_pareto[[#This Row],[AIR]],AIR_dump[Number],AIR_dump[Amb Work notes],"not on amb list",0)</f>
        <v/>
      </c>
    </row>
  </sheetData>
  <mergeCells count="3">
    <mergeCell ref="R5:S5"/>
    <mergeCell ref="T5:U5"/>
    <mergeCell ref="R1:U1"/>
  </mergeCells>
  <phoneticPr fontId="2" type="noConversion"/>
  <conditionalFormatting sqref="C7:C288">
    <cfRule type="duplicateValues" dxfId="50" priority="186"/>
  </conditionalFormatting>
  <dataValidations count="3">
    <dataValidation type="list" allowBlank="1" showInputMessage="1" showErrorMessage="1" sqref="C1" xr:uid="{06BDEC04-038E-435A-9013-221607811AAC}">
      <formula1>"Intel,SEC,tsmc"</formula1>
    </dataValidation>
    <dataValidation type="list" allowBlank="1" showInputMessage="1" showErrorMessage="1" sqref="C3" xr:uid="{954FC015-9FC2-45DC-ABA5-CFB19287EB67}">
      <formula1>"P hits, U hits, All hits"</formula1>
    </dataValidation>
    <dataValidation type="list" allowBlank="1" showInputMessage="1" showErrorMessage="1" sqref="C4:D4" xr:uid="{D960D99E-E053-41FC-A8AF-816EBDB24B38}">
      <formula1>INDIRECT("MTBF_field[Week]")</formula1>
    </dataValidation>
  </dataValidations>
  <pageMargins left="0.7" right="0.7" top="0.75" bottom="0.75" header="0.3" footer="0.3"/>
  <pageSetup orientation="portrait" r:id="rId1"/>
  <drawing r:id="rId2"/>
  <tableParts count="1">
    <tablePart r:id="rId3"/>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63B1D-2634-4547-9815-20387ED21058}">
  <sheetPr codeName="Sheet7"/>
  <dimension ref="A7:F23"/>
  <sheetViews>
    <sheetView topLeftCell="A4" zoomScale="85" zoomScaleNormal="85" workbookViewId="0">
      <selection activeCell="N56" sqref="N56"/>
    </sheetView>
  </sheetViews>
  <sheetFormatPr defaultRowHeight="15"/>
  <cols>
    <col min="1" max="1" width="12.85546875" bestFit="1" customWidth="1"/>
    <col min="2" max="2" width="14" bestFit="1" customWidth="1"/>
    <col min="3" max="3" width="14.85546875" bestFit="1" customWidth="1"/>
    <col min="4" max="4" width="7.42578125" bestFit="1" customWidth="1"/>
    <col min="5" max="5" width="44.5703125" bestFit="1" customWidth="1"/>
    <col min="6" max="6" width="20.140625" bestFit="1" customWidth="1"/>
    <col min="7" max="15" width="7.42578125" bestFit="1" customWidth="1"/>
    <col min="16" max="16" width="15" bestFit="1" customWidth="1"/>
  </cols>
  <sheetData>
    <row r="7" spans="1:6">
      <c r="A7" s="11" t="s">
        <v>1123</v>
      </c>
      <c r="B7" t="s">
        <v>1124</v>
      </c>
    </row>
    <row r="8" spans="1:6">
      <c r="A8" s="11" t="s">
        <v>1125</v>
      </c>
      <c r="B8" t="s">
        <v>230</v>
      </c>
    </row>
    <row r="9" spans="1:6">
      <c r="A9" s="11" t="s">
        <v>220</v>
      </c>
      <c r="B9" t="s">
        <v>1124</v>
      </c>
    </row>
    <row r="10" spans="1:6">
      <c r="A10" s="11" t="s">
        <v>159</v>
      </c>
      <c r="B10" t="s">
        <v>159</v>
      </c>
    </row>
    <row r="11" spans="1:6">
      <c r="A11" s="11" t="s">
        <v>968</v>
      </c>
      <c r="B11" t="s">
        <v>1124</v>
      </c>
      <c r="E11" s="36" t="s">
        <v>1126</v>
      </c>
      <c r="F11" s="36" t="s">
        <v>1127</v>
      </c>
    </row>
    <row r="12" spans="1:6">
      <c r="A12" s="11" t="s">
        <v>204</v>
      </c>
      <c r="B12" t="s">
        <v>1124</v>
      </c>
      <c r="E12" s="12" t="s">
        <v>164</v>
      </c>
      <c r="F12">
        <v>7</v>
      </c>
    </row>
    <row r="13" spans="1:6">
      <c r="A13" s="11" t="s">
        <v>217</v>
      </c>
      <c r="B13" t="s">
        <v>230</v>
      </c>
      <c r="E13" s="12" t="s">
        <v>166</v>
      </c>
      <c r="F13">
        <v>3</v>
      </c>
    </row>
    <row r="14" spans="1:6">
      <c r="E14" s="12" t="s">
        <v>1128</v>
      </c>
      <c r="F14">
        <v>2</v>
      </c>
    </row>
    <row r="15" spans="1:6">
      <c r="A15" s="11" t="s">
        <v>821</v>
      </c>
      <c r="B15" t="s">
        <v>1129</v>
      </c>
      <c r="C15" t="s">
        <v>1130</v>
      </c>
    </row>
    <row r="16" spans="1:6">
      <c r="A16" s="12" t="s">
        <v>164</v>
      </c>
      <c r="B16">
        <v>1</v>
      </c>
      <c r="C16">
        <v>13.75</v>
      </c>
    </row>
    <row r="17" spans="1:3">
      <c r="A17" s="12" t="s">
        <v>175</v>
      </c>
      <c r="B17">
        <v>1</v>
      </c>
      <c r="C17">
        <v>18.260000000000002</v>
      </c>
    </row>
    <row r="18" spans="1:3">
      <c r="A18" s="12" t="s">
        <v>166</v>
      </c>
      <c r="B18">
        <v>1</v>
      </c>
      <c r="C18">
        <v>15.66</v>
      </c>
    </row>
    <row r="19" spans="1:3">
      <c r="A19" s="12" t="s">
        <v>1131</v>
      </c>
      <c r="B19">
        <v>1</v>
      </c>
      <c r="C19">
        <v>14.38</v>
      </c>
    </row>
    <row r="20" spans="1:3">
      <c r="A20" s="12" t="s">
        <v>1132</v>
      </c>
      <c r="B20">
        <v>1</v>
      </c>
      <c r="C20">
        <v>78.7</v>
      </c>
    </row>
    <row r="21" spans="1:3">
      <c r="A21" s="12" t="s">
        <v>1133</v>
      </c>
      <c r="B21">
        <v>1</v>
      </c>
      <c r="C21">
        <v>19.45</v>
      </c>
    </row>
    <row r="22" spans="1:3">
      <c r="A22" s="12" t="s">
        <v>291</v>
      </c>
      <c r="B22">
        <v>1</v>
      </c>
      <c r="C22">
        <v>134</v>
      </c>
    </row>
    <row r="23" spans="1:3">
      <c r="A23" s="12" t="s">
        <v>190</v>
      </c>
      <c r="B23">
        <v>7</v>
      </c>
      <c r="C23">
        <v>294.2</v>
      </c>
    </row>
  </sheetData>
  <pageMargins left="0.7" right="0.7" top="0.75" bottom="0.75" header="0.3" footer="0.3"/>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EE7AE-357D-4BF5-A525-49028CBB5B98}">
  <sheetPr codeName="Sheet9">
    <tabColor rgb="FF92D050"/>
  </sheetPr>
  <dimension ref="A1:L36"/>
  <sheetViews>
    <sheetView zoomScale="81" workbookViewId="0">
      <selection activeCell="B28" sqref="B28:B36"/>
    </sheetView>
  </sheetViews>
  <sheetFormatPr defaultRowHeight="15"/>
  <cols>
    <col min="1" max="1" width="17.85546875" customWidth="1"/>
    <col min="2" max="2" width="8.42578125" customWidth="1"/>
    <col min="3" max="3" width="22" customWidth="1"/>
    <col min="4" max="4" width="14.5703125" customWidth="1"/>
    <col min="5" max="5" width="11.5703125" bestFit="1" customWidth="1"/>
    <col min="6" max="6" width="8.5703125" bestFit="1" customWidth="1"/>
    <col min="7" max="8" width="15.140625" customWidth="1"/>
    <col min="9" max="9" width="14.85546875" customWidth="1"/>
    <col min="10" max="11" width="15.140625" customWidth="1"/>
    <col min="12" max="12" width="14.85546875" customWidth="1"/>
  </cols>
  <sheetData>
    <row r="1" spans="1:12">
      <c r="C1" s="92" t="str">
        <f>MTBF_field[[#Headers],[Productive time '[hrs']]]</f>
        <v>Productive time [hrs]</v>
      </c>
      <c r="D1" s="92" t="str">
        <f>MTBF_field[[#Headers],[Uptime '[hrs']]]</f>
        <v>Uptime [hrs]</v>
      </c>
      <c r="E1" s="92" t="str">
        <f>MTBF_field[[#Headers],[P hits]]</f>
        <v>P hits</v>
      </c>
      <c r="F1" s="92" t="str">
        <f>MTBF_field[[#Headers],[U hits]]</f>
        <v>U hits</v>
      </c>
      <c r="G1" s="92"/>
      <c r="H1" s="92" t="str">
        <f>MTBF_field[[#Headers],[MTBFp 4wma]]</f>
        <v>MTBFp 4wma</v>
      </c>
      <c r="I1" s="92" t="str">
        <f>MTBF_field[[#Headers],[MTBFp 13wma]]</f>
        <v>MTBFp 13wma</v>
      </c>
      <c r="J1" s="92"/>
      <c r="K1" s="92" t="str">
        <f>MTBF_field[[#Headers],[MTBFu 4wma]]</f>
        <v>MTBFu 4wma</v>
      </c>
      <c r="L1" s="92" t="str">
        <f>MTBF_field[[#Headers],[MTBFu 13wma]]</f>
        <v>MTBFu 13wma</v>
      </c>
    </row>
    <row r="2" spans="1:12">
      <c r="A2" s="87" t="s">
        <v>1134</v>
      </c>
      <c r="B2" s="90">
        <f>MAX(MTBF_field[Week])</f>
        <v>2526</v>
      </c>
      <c r="C2" s="94">
        <f>SUMIFS(MTBF_field[Productive time '[hrs']],MTBF_field[Week],"&lt;="&amp;B2,MTBF_field[Week],"&gt;="&amp;(B2-3))</f>
        <v>364.87944700000003</v>
      </c>
      <c r="D2" s="94">
        <f>SUMIFS(MTBF_field[Uptime '[hrs']],MTBF_field[Week],"&lt;="&amp;B2,MTBF_field[Week],"&gt;="&amp;(B2-3))</f>
        <v>518.49305800000002</v>
      </c>
      <c r="E2" s="88">
        <f>SUMIFS(MTBF_field[P hits],MTBF_field[Week],"&lt;="&amp;B2,MTBF_field[Week],"&gt;="&amp;(B2-3))</f>
        <v>13</v>
      </c>
      <c r="F2" s="88">
        <f>SUMIFS(MTBF_field[U hits],MTBF_field[Week],"&lt;="&amp;B2,MTBF_field[Week],"&gt;="&amp;(B2-3))</f>
        <v>15</v>
      </c>
      <c r="G2" s="88"/>
      <c r="H2" s="91">
        <f>_xlfn.XLOOKUP(B2,MTBF_field[Week],MTBF_field[MTBFp 4wma],"not found",0)</f>
        <v>60.813241166666671</v>
      </c>
      <c r="I2" s="91">
        <f>_xlfn.XLOOKUP(B2,MTBF_field[Week],MTBF_field[MTBFp 13wma],"not found",0)</f>
        <v>52.106331823529409</v>
      </c>
      <c r="J2" s="88"/>
      <c r="K2" s="91">
        <f>_xlfn.XLOOKUP(B2,MTBF_field[Week],MTBF_field[MTBFu 4wma],"not found",0)</f>
        <v>74.070436857142866</v>
      </c>
      <c r="L2" s="91">
        <f>_xlfn.XLOOKUP(B2,MTBF_field[Week],MTBF_field[MTBFu 13wma],"not found",0)</f>
        <v>59.082417931818185</v>
      </c>
    </row>
    <row r="3" spans="1:12">
      <c r="C3" s="148"/>
      <c r="D3" s="148"/>
      <c r="E3" s="92"/>
      <c r="F3" s="92"/>
      <c r="G3" s="92"/>
      <c r="H3" s="149"/>
      <c r="I3" s="149"/>
      <c r="J3" s="92"/>
      <c r="K3" s="149"/>
    </row>
    <row r="4" spans="1:12">
      <c r="E4" s="37"/>
      <c r="F4" s="37"/>
      <c r="G4" s="37"/>
      <c r="H4" s="37"/>
      <c r="J4" s="37"/>
      <c r="K4" s="37"/>
    </row>
    <row r="5" spans="1:12">
      <c r="A5" s="37" t="s">
        <v>83</v>
      </c>
      <c r="B5" t="s">
        <v>1135</v>
      </c>
      <c r="C5" s="37" t="s">
        <v>1136</v>
      </c>
      <c r="D5" s="37" t="s">
        <v>1137</v>
      </c>
      <c r="E5" s="37" t="s">
        <v>75</v>
      </c>
      <c r="F5" s="37" t="s">
        <v>76</v>
      </c>
      <c r="G5" s="37" t="s">
        <v>1138</v>
      </c>
      <c r="H5" s="37" t="s">
        <v>1139</v>
      </c>
      <c r="I5" s="37" t="s">
        <v>1140</v>
      </c>
      <c r="J5" s="37" t="s">
        <v>1141</v>
      </c>
      <c r="K5" s="37" t="s">
        <v>1142</v>
      </c>
      <c r="L5" s="37" t="s">
        <v>1143</v>
      </c>
    </row>
    <row r="6" spans="1:12">
      <c r="A6" s="93">
        <v>2502</v>
      </c>
      <c r="B6" s="86" t="str">
        <f>"wk"&amp;MTBF_field[[#This Row],[Week]]</f>
        <v>wk2502</v>
      </c>
      <c r="C6" s="93">
        <f>SUMIFS(Runhours_Table[Productive Hours],Runhours_Table[Year-Week Number],MTBF_field[[#This Row],[Week]])</f>
        <v>128.69999999999999</v>
      </c>
      <c r="D6" s="93">
        <f>SUMIFS(Runhours_Table[Up Time],Runhours_Table[Year-Week Number],MTBF_field[[#This Row],[Week]])</f>
        <v>223</v>
      </c>
      <c r="E6" s="89">
        <f>'Daily Run Hours'!P29</f>
        <v>3</v>
      </c>
      <c r="F6" s="89">
        <f>'Daily Run Hours'!Q29</f>
        <v>9</v>
      </c>
      <c r="G6" s="95">
        <f>IF(MTBF_field[[#This Row],[P hits]]=0,MTBF_field[[#This Row],[Productive time '[hrs']]],MTBF_field[[#This Row],[Productive time '[hrs']]]/MTBF_field[[#This Row],[P hits]])</f>
        <v>42.9</v>
      </c>
      <c r="H6" s="95">
        <f>IF(SUM(E6:E6)=0,SUM(C6:C6),SUM(C6:C6)/SUM(E6:E6))</f>
        <v>42.9</v>
      </c>
      <c r="I6" s="95">
        <f>IF(SUM(E6:E6)=0,SUM(C6:C6),SUM(C6:C6)/SUM(E6:E6))</f>
        <v>42.9</v>
      </c>
      <c r="J6" s="95">
        <f>IF(MTBF_field[[#This Row],[U hits]]=0,MTBF_field[[#This Row],[Uptime '[hrs']]],MTBF_field[[#This Row],[Uptime '[hrs']]]/MTBF_field[[#This Row],[U hits]])</f>
        <v>24.777777777777779</v>
      </c>
      <c r="K6" s="95">
        <f>IF(SUM(F6:F6)=0,SUM(D6:D6),SUM(D6:D6)/SUM(F6:F6))</f>
        <v>24.777777777777779</v>
      </c>
      <c r="L6" s="95">
        <f>IF(SUM(F6:F6)=0,SUM(D6:D6),SUM(D6:D6)/SUM(F6:F6))</f>
        <v>24.777777777777779</v>
      </c>
    </row>
    <row r="7" spans="1:12">
      <c r="A7" s="93">
        <v>2503</v>
      </c>
      <c r="B7" s="86" t="str">
        <f>"wk"&amp;MTBF_field[[#This Row],[Week]]</f>
        <v>wk2503</v>
      </c>
      <c r="C7" s="93">
        <f>SUMIFS(Runhours_Table[Productive Hours],Runhours_Table[Year-Week Number],MTBF_field[[#This Row],[Week]])</f>
        <v>132.1</v>
      </c>
      <c r="D7" s="93">
        <f>SUMIFS(Runhours_Table[Up Time],Runhours_Table[Year-Week Number],MTBF_field[[#This Row],[Week]])</f>
        <v>250</v>
      </c>
      <c r="E7" s="89">
        <f>'Daily Run Hours'!P30</f>
        <v>0</v>
      </c>
      <c r="F7" s="89">
        <f>'Daily Run Hours'!Q30</f>
        <v>2</v>
      </c>
      <c r="G7" s="95">
        <f>IF(MTBF_field[[#This Row],[P hits]]=0,MTBF_field[[#This Row],[Productive time '[hrs']]],MTBF_field[[#This Row],[Productive time '[hrs']]]/MTBF_field[[#This Row],[P hits]])</f>
        <v>132.1</v>
      </c>
      <c r="H7" s="95">
        <f>IF(SUM(E6:E7)=0,SUM(C6:C7),SUM(C6:C7)/SUM(E6:E7))</f>
        <v>86.933333333333323</v>
      </c>
      <c r="I7" s="95">
        <f>IF(SUM(E6:E7)=0,SUM(C6:C7),SUM(C6:C7)/SUM(E6:E7))</f>
        <v>86.933333333333323</v>
      </c>
      <c r="J7" s="95">
        <f>IF(MTBF_field[[#This Row],[U hits]]=0,MTBF_field[[#This Row],[Uptime '[hrs']]],MTBF_field[[#This Row],[Uptime '[hrs']]]/MTBF_field[[#This Row],[U hits]])</f>
        <v>125</v>
      </c>
      <c r="K7" s="93">
        <f>IF(SUM(F6:F7)=0,SUM(D6:D7),SUM(D6:D7)/SUM(F6:F7))</f>
        <v>43</v>
      </c>
      <c r="L7" s="95">
        <f>IF(SUM(F6:F7)=0,SUM(D6:D7),SUM(D6:D7)/SUM(F6:F7))</f>
        <v>43</v>
      </c>
    </row>
    <row r="8" spans="1:12">
      <c r="A8" s="93">
        <v>2504</v>
      </c>
      <c r="B8" s="86" t="str">
        <f>"wk"&amp;MTBF_field[[#This Row],[Week]]</f>
        <v>wk2504</v>
      </c>
      <c r="C8" s="93">
        <f>SUMIFS(Runhours_Table[Productive Hours],Runhours_Table[Year-Week Number],MTBF_field[[#This Row],[Week]])</f>
        <v>141.13000199999999</v>
      </c>
      <c r="D8" s="93">
        <f>SUMIFS(Runhours_Table[Up Time],Runhours_Table[Year-Week Number],MTBF_field[[#This Row],[Week]])</f>
        <v>236</v>
      </c>
      <c r="E8" s="89">
        <f>'Daily Run Hours'!P31</f>
        <v>0</v>
      </c>
      <c r="F8" s="89">
        <f>'Daily Run Hours'!Q31</f>
        <v>11</v>
      </c>
      <c r="G8" s="95">
        <f>IF(MTBF_field[[#This Row],[P hits]]=0,MTBF_field[[#This Row],[Productive time '[hrs']]],MTBF_field[[#This Row],[Productive time '[hrs']]]/MTBF_field[[#This Row],[P hits]])</f>
        <v>141.13000199999999</v>
      </c>
      <c r="H8" s="95">
        <f>IF(SUM(E6:E8)=0,SUM(C6:C8),SUM(C6:C8)/SUM(E6:E8))</f>
        <v>133.97666733333332</v>
      </c>
      <c r="I8" s="95">
        <f>IF(SUM(E6:E8)=0,SUM(C6:C8),SUM(C6:C8)/SUM(E6:E8))</f>
        <v>133.97666733333332</v>
      </c>
      <c r="J8" s="95">
        <f>IF(MTBF_field[[#This Row],[U hits]]=0,MTBF_field[[#This Row],[Uptime '[hrs']]],MTBF_field[[#This Row],[Uptime '[hrs']]]/MTBF_field[[#This Row],[U hits]])</f>
        <v>21.454545454545453</v>
      </c>
      <c r="K8" s="93">
        <f>IF(SUM(F6:F8)=0,SUM(D6:D8),SUM(D6:D8)/SUM(F6:F8))</f>
        <v>32.227272727272727</v>
      </c>
      <c r="L8" s="95">
        <f>IF(SUM(F6:F8)=0,SUM(D6:D8),SUM(D6:D8)/SUM(F6:F8))</f>
        <v>32.227272727272727</v>
      </c>
    </row>
    <row r="9" spans="1:12">
      <c r="A9" s="93">
        <v>2505</v>
      </c>
      <c r="B9" s="86" t="str">
        <f>"wk"&amp;MTBF_field[[#This Row],[Week]]</f>
        <v>wk2505</v>
      </c>
      <c r="C9" s="93">
        <f>SUMIFS(Runhours_Table[Productive Hours],Runhours_Table[Year-Week Number],MTBF_field[[#This Row],[Week]])</f>
        <v>126.508055</v>
      </c>
      <c r="D9" s="93">
        <f>SUMIFS(Runhours_Table[Up Time],Runhours_Table[Year-Week Number],MTBF_field[[#This Row],[Week]])</f>
        <v>157.73333399999999</v>
      </c>
      <c r="E9" s="89">
        <f>'Daily Run Hours'!P32</f>
        <v>6</v>
      </c>
      <c r="F9" s="89">
        <f>'Daily Run Hours'!Q32</f>
        <v>10</v>
      </c>
      <c r="G9" s="95">
        <f>IF(MTBF_field[[#This Row],[P hits]]=0,MTBF_field[[#This Row],[Productive time '[hrs']]],MTBF_field[[#This Row],[Productive time '[hrs']]]/MTBF_field[[#This Row],[P hits]])</f>
        <v>21.084675833333332</v>
      </c>
      <c r="H9" s="95">
        <f t="shared" ref="H9:H11" si="0">IF(SUM(E6:E9)=0,SUM(C6:C9),SUM(C6:C9)/SUM(E6:E9))</f>
        <v>58.715339666666665</v>
      </c>
      <c r="I9" s="95">
        <f>IF(SUM(E6:E9)=0,SUM(C6:C9),SUM(C6:C9)/SUM(E6:E9))</f>
        <v>58.715339666666665</v>
      </c>
      <c r="J9" s="95">
        <f>IF(MTBF_field[[#This Row],[U hits]]=0,MTBF_field[[#This Row],[Uptime '[hrs']]],MTBF_field[[#This Row],[Uptime '[hrs']]]/MTBF_field[[#This Row],[U hits]])</f>
        <v>15.773333399999999</v>
      </c>
      <c r="K9" s="93">
        <f t="shared" ref="K9:K11" si="1">IF(SUM(F6:F9)=0,SUM(D6:D9),SUM(D6:D9)/SUM(F6:F9))</f>
        <v>27.0854166875</v>
      </c>
      <c r="L9" s="95">
        <f>IF(SUM(F6:F9)=0,SUM(D6:D9),SUM(D6:D9)/SUM(F6:F9))</f>
        <v>27.0854166875</v>
      </c>
    </row>
    <row r="10" spans="1:12">
      <c r="A10" s="93">
        <v>2506</v>
      </c>
      <c r="B10" s="86" t="str">
        <f>"wk"&amp;MTBF_field[[#This Row],[Week]]</f>
        <v>wk2506</v>
      </c>
      <c r="C10" s="93">
        <f>SUMIFS(Runhours_Table[Productive Hours],Runhours_Table[Year-Week Number],MTBF_field[[#This Row],[Week]])</f>
        <v>122.92138800000001</v>
      </c>
      <c r="D10" s="93">
        <f>SUMIFS(Runhours_Table[Up Time],Runhours_Table[Year-Week Number],MTBF_field[[#This Row],[Week]])</f>
        <v>200.49444300000002</v>
      </c>
      <c r="E10" s="89">
        <f>'Daily Run Hours'!P33</f>
        <v>3</v>
      </c>
      <c r="F10" s="89">
        <f>'Daily Run Hours'!Q33</f>
        <v>3</v>
      </c>
      <c r="G10" s="95">
        <f>IF(MTBF_field[[#This Row],[P hits]]=0,MTBF_field[[#This Row],[Productive time '[hrs']]],MTBF_field[[#This Row],[Productive time '[hrs']]]/MTBF_field[[#This Row],[P hits]])</f>
        <v>40.973796</v>
      </c>
      <c r="H10" s="95">
        <f t="shared" si="0"/>
        <v>58.07327166666667</v>
      </c>
      <c r="I10" s="95">
        <f>IF(SUM(E6:E10)=0,SUM(C6:C10),SUM(C6:C10)/SUM(E6:E10))</f>
        <v>54.279953749999997</v>
      </c>
      <c r="J10" s="95">
        <f>IF(MTBF_field[[#This Row],[U hits]]=0,MTBF_field[[#This Row],[Uptime '[hrs']]],MTBF_field[[#This Row],[Uptime '[hrs']]]/MTBF_field[[#This Row],[U hits]])</f>
        <v>66.831481000000011</v>
      </c>
      <c r="K10" s="93">
        <f t="shared" si="1"/>
        <v>32.47029911538462</v>
      </c>
      <c r="L10" s="95">
        <f>IF(SUM(F6:F10)=0,SUM(D6:D10),SUM(D6:D10)/SUM(F6:F10))</f>
        <v>30.4922222</v>
      </c>
    </row>
    <row r="11" spans="1:12">
      <c r="A11" s="93">
        <v>2507</v>
      </c>
      <c r="B11" s="86" t="str">
        <f>"wk"&amp;MTBF_field[[#This Row],[Week]]</f>
        <v>wk2507</v>
      </c>
      <c r="C11" s="93">
        <f>SUMIFS(Runhours_Table[Productive Hours],Runhours_Table[Year-Week Number],MTBF_field[[#This Row],[Week]])</f>
        <v>153.77166700000001</v>
      </c>
      <c r="D11" s="93">
        <f>SUMIFS(Runhours_Table[Up Time],Runhours_Table[Year-Week Number],MTBF_field[[#This Row],[Week]])</f>
        <v>250.88333200000002</v>
      </c>
      <c r="E11" s="89">
        <f>'Daily Run Hours'!P34</f>
        <v>2</v>
      </c>
      <c r="F11" s="89">
        <f>'Daily Run Hours'!Q34</f>
        <v>3</v>
      </c>
      <c r="G11" s="95">
        <f>IF(MTBF_field[[#This Row],[P hits]]=0,MTBF_field[[#This Row],[Productive time '[hrs']]],MTBF_field[[#This Row],[Productive time '[hrs']]]/MTBF_field[[#This Row],[P hits]])</f>
        <v>76.885833500000004</v>
      </c>
      <c r="H11" s="95">
        <f t="shared" si="0"/>
        <v>49.484646545454545</v>
      </c>
      <c r="I11" s="95">
        <f>IF(SUM(E6:E11)=0,SUM(C6:C11),SUM(C6:C11)/SUM(E6:E11))</f>
        <v>57.509365142857135</v>
      </c>
      <c r="J11" s="95">
        <f>IF(MTBF_field[[#This Row],[U hits]]=0,MTBF_field[[#This Row],[Uptime '[hrs']]],MTBF_field[[#This Row],[Uptime '[hrs']]]/MTBF_field[[#This Row],[U hits]])</f>
        <v>83.627777333333341</v>
      </c>
      <c r="K11" s="93">
        <f t="shared" si="1"/>
        <v>31.300411444444446</v>
      </c>
      <c r="L11" s="95">
        <f>IF(SUM(F6:F11)=0,SUM(D6:D11),SUM(D6:D11)/SUM(F6:F11))</f>
        <v>34.687134447368429</v>
      </c>
    </row>
    <row r="12" spans="1:12">
      <c r="A12" s="93">
        <v>2508</v>
      </c>
      <c r="B12" s="86" t="str">
        <f>"wk"&amp;MTBF_field[[#This Row],[Week]]</f>
        <v>wk2508</v>
      </c>
      <c r="C12" s="93">
        <f>SUMIFS(Runhours_Table[Productive Hours],Runhours_Table[Year-Week Number],MTBF_field[[#This Row],[Week]])</f>
        <v>173.05805599999999</v>
      </c>
      <c r="D12" s="93">
        <f>SUMIFS(Runhours_Table[Up Time],Runhours_Table[Year-Week Number],MTBF_field[[#This Row],[Week]])</f>
        <v>253.00000099999997</v>
      </c>
      <c r="E12" s="89">
        <f>'Daily Run Hours'!P35</f>
        <v>3</v>
      </c>
      <c r="F12" s="89">
        <f>'Daily Run Hours'!Q35</f>
        <v>4</v>
      </c>
      <c r="G12" s="95">
        <f>IF(MTBF_field[[#This Row],[P hits]]=0,MTBF_field[[#This Row],[Productive time '[hrs']]],MTBF_field[[#This Row],[Productive time '[hrs']]]/MTBF_field[[#This Row],[P hits]])</f>
        <v>57.686018666666662</v>
      </c>
      <c r="H12" s="95">
        <f t="shared" ref="H12:H20" si="2">IF(SUM(E9:E12)=0,SUM(C9:C12),SUM(C9:C12)/SUM(E9:E12))</f>
        <v>41.161368999999993</v>
      </c>
      <c r="I12" s="95">
        <f>IF(SUM(E6:E12)=0,SUM(C6:C12),SUM(C6:C12)/SUM(E6:E12))</f>
        <v>57.540539294117643</v>
      </c>
      <c r="J12" s="95">
        <f>IF(MTBF_field[[#This Row],[U hits]]=0,MTBF_field[[#This Row],[Uptime '[hrs']]],MTBF_field[[#This Row],[Uptime '[hrs']]]/MTBF_field[[#This Row],[U hits]])</f>
        <v>63.250000249999992</v>
      </c>
      <c r="K12" s="93">
        <f t="shared" ref="K12:K20" si="3">IF(SUM(F9:F12)=0,SUM(D9:D12),SUM(D9:D12)/SUM(F9:F12))</f>
        <v>43.105555500000001</v>
      </c>
      <c r="L12" s="95">
        <f>IF(SUM(F6:F12)=0,SUM(D6:D12),SUM(D6:D12)/SUM(F6:F12))</f>
        <v>37.407407380952385</v>
      </c>
    </row>
    <row r="13" spans="1:12">
      <c r="A13" s="93">
        <v>2509</v>
      </c>
      <c r="B13" s="86" t="str">
        <f>"wk"&amp;MTBF_field[[#This Row],[Week]]</f>
        <v>wk2509</v>
      </c>
      <c r="C13" s="93">
        <f>SUMIFS(Runhours_Table[Productive Hours],Runhours_Table[Year-Week Number],MTBF_field[[#This Row],[Week]])</f>
        <v>126.31333399999998</v>
      </c>
      <c r="D13" s="93">
        <f>SUMIFS(Runhours_Table[Up Time],Runhours_Table[Year-Week Number],MTBF_field[[#This Row],[Week]])</f>
        <v>165.16666699999999</v>
      </c>
      <c r="E13" s="89">
        <f>'Daily Run Hours'!P36</f>
        <v>2</v>
      </c>
      <c r="F13" s="89">
        <f>'Daily Run Hours'!Q36</f>
        <v>2</v>
      </c>
      <c r="G13" s="95">
        <f>IF(MTBF_field[[#This Row],[P hits]]=0,MTBF_field[[#This Row],[Productive time '[hrs']]],MTBF_field[[#This Row],[Productive time '[hrs']]]/MTBF_field[[#This Row],[P hits]])</f>
        <v>63.156666999999992</v>
      </c>
      <c r="H13" s="95">
        <f t="shared" si="2"/>
        <v>57.606444499999995</v>
      </c>
      <c r="I13" s="95">
        <f>IF(SUM(E6:E13)=0,SUM(C6:C13),SUM(C6:C13)/SUM(E6:E13))</f>
        <v>58.13171063157894</v>
      </c>
      <c r="J13" s="95">
        <f>IF(MTBF_field[[#This Row],[U hits]]=0,MTBF_field[[#This Row],[Uptime '[hrs']]],MTBF_field[[#This Row],[Uptime '[hrs']]]/MTBF_field[[#This Row],[U hits]])</f>
        <v>82.583333499999995</v>
      </c>
      <c r="K13" s="93">
        <f t="shared" si="3"/>
        <v>72.462036916666662</v>
      </c>
      <c r="L13" s="95">
        <f>IF(SUM(F6:F13)=0,SUM(D6:D13),SUM(D6:D13)/SUM(F6:F13))</f>
        <v>39.46085856818182</v>
      </c>
    </row>
    <row r="14" spans="1:12">
      <c r="A14" s="93">
        <v>2510</v>
      </c>
      <c r="B14" s="86" t="str">
        <f>"wk"&amp;MTBF_field[[#This Row],[Week]]</f>
        <v>wk2510</v>
      </c>
      <c r="C14" s="93">
        <f>SUMIFS(Runhours_Table[Productive Hours],Runhours_Table[Year-Week Number],MTBF_field[[#This Row],[Week]])</f>
        <v>129.04583399999999</v>
      </c>
      <c r="D14" s="93">
        <f>SUMIFS(Runhours_Table[Up Time],Runhours_Table[Year-Week Number],MTBF_field[[#This Row],[Week]])</f>
        <v>199.1</v>
      </c>
      <c r="E14" s="89">
        <f>'Daily Run Hours'!P37</f>
        <v>3</v>
      </c>
      <c r="F14" s="89">
        <f>'Daily Run Hours'!Q37</f>
        <v>3</v>
      </c>
      <c r="G14" s="95">
        <f>IF(MTBF_field[[#This Row],[P hits]]=0,MTBF_field[[#This Row],[Productive time '[hrs']]],MTBF_field[[#This Row],[Productive time '[hrs']]]/MTBF_field[[#This Row],[P hits]])</f>
        <v>43.015277999999995</v>
      </c>
      <c r="H14" s="95">
        <f t="shared" si="2"/>
        <v>58.218889099999998</v>
      </c>
      <c r="I14" s="95">
        <f>IF(SUM(E6:E14)=0,SUM(C6:C14),SUM(C6:C14)/SUM(E6:E14))</f>
        <v>56.070378909090898</v>
      </c>
      <c r="J14" s="95">
        <f>IF(MTBF_field[[#This Row],[U hits]]=0,MTBF_field[[#This Row],[Uptime '[hrs']]],MTBF_field[[#This Row],[Uptime '[hrs']]]/MTBF_field[[#This Row],[U hits]])</f>
        <v>66.36666666666666</v>
      </c>
      <c r="K14" s="93">
        <f t="shared" si="3"/>
        <v>72.345833333333331</v>
      </c>
      <c r="L14" s="95">
        <f>IF(SUM(F6:F14)=0,SUM(D6:D14),SUM(D6:D14)/SUM(F6:F14))</f>
        <v>41.17825057446808</v>
      </c>
    </row>
    <row r="15" spans="1:12">
      <c r="A15" s="93">
        <v>2511</v>
      </c>
      <c r="B15" s="86" t="str">
        <f>"wk"&amp;MTBF_field[[#This Row],[Week]]</f>
        <v>wk2511</v>
      </c>
      <c r="C15" s="93">
        <f>SUMIFS(Runhours_Table[Productive Hours],Runhours_Table[Year-Week Number],MTBF_field[[#This Row],[Week]])</f>
        <v>107.53138899999999</v>
      </c>
      <c r="D15" s="93">
        <f>SUMIFS(Runhours_Table[Up Time],Runhours_Table[Year-Week Number],MTBF_field[[#This Row],[Week]])</f>
        <v>186.48333200000002</v>
      </c>
      <c r="E15" s="89">
        <f>'Daily Run Hours'!P38</f>
        <v>5</v>
      </c>
      <c r="F15" s="89">
        <f>'Daily Run Hours'!Q38</f>
        <v>8</v>
      </c>
      <c r="G15" s="95">
        <f>IF(MTBF_field[[#This Row],[P hits]]=0,MTBF_field[[#This Row],[Productive time '[hrs']]],MTBF_field[[#This Row],[Productive time '[hrs']]]/MTBF_field[[#This Row],[P hits]])</f>
        <v>21.506277799999999</v>
      </c>
      <c r="H15" s="95">
        <f t="shared" si="2"/>
        <v>41.226816384615375</v>
      </c>
      <c r="I15" s="95">
        <f>IF(SUM(E6:E15)=0,SUM(C6:C15),SUM(C6:C15)/SUM(E6:E15))</f>
        <v>49.669619444444436</v>
      </c>
      <c r="J15" s="95">
        <f>IF(MTBF_field[[#This Row],[U hits]]=0,MTBF_field[[#This Row],[Uptime '[hrs']]],MTBF_field[[#This Row],[Uptime '[hrs']]]/MTBF_field[[#This Row],[U hits]])</f>
        <v>23.310416500000002</v>
      </c>
      <c r="K15" s="93">
        <f t="shared" si="3"/>
        <v>47.279411764705884</v>
      </c>
      <c r="L15" s="95">
        <f>IF(SUM(F6:F15)=0,SUM(D6:D15),SUM(D6:D15)/SUM(F6:F15))</f>
        <v>38.579292890909088</v>
      </c>
    </row>
    <row r="16" spans="1:12">
      <c r="A16" s="93">
        <v>2512</v>
      </c>
      <c r="B16" s="86" t="str">
        <f>"wk"&amp;MTBF_field[[#This Row],[Week]]</f>
        <v>wk2512</v>
      </c>
      <c r="C16" s="93">
        <f>SUMIFS(Runhours_Table[Productive Hours],Runhours_Table[Year-Week Number],MTBF_field[[#This Row],[Week]])</f>
        <v>107.524445</v>
      </c>
      <c r="D16" s="93">
        <f>SUMIFS(Runhours_Table[Up Time],Runhours_Table[Year-Week Number],MTBF_field[[#This Row],[Week]])</f>
        <v>190.56666600000003</v>
      </c>
      <c r="E16" s="89">
        <f>'Daily Run Hours'!P39</f>
        <v>3</v>
      </c>
      <c r="F16" s="89">
        <f>'Daily Run Hours'!Q39</f>
        <v>5</v>
      </c>
      <c r="G16" s="95">
        <f>IF(MTBF_field[[#This Row],[P hits]]=0,MTBF_field[[#This Row],[Productive time '[hrs']]],MTBF_field[[#This Row],[Productive time '[hrs']]]/MTBF_field[[#This Row],[P hits]])</f>
        <v>35.841481666666667</v>
      </c>
      <c r="H16" s="95">
        <f t="shared" si="2"/>
        <v>36.185769384615384</v>
      </c>
      <c r="I16" s="95">
        <f>IF(SUM(E6:E16)=0,SUM(C6:C16),SUM(C6:C16)/SUM(E6:E16))</f>
        <v>48.286805666666659</v>
      </c>
      <c r="J16" s="95">
        <f>IF(MTBF_field[[#This Row],[U hits]]=0,MTBF_field[[#This Row],[Uptime '[hrs']]],MTBF_field[[#This Row],[Uptime '[hrs']]]/MTBF_field[[#This Row],[U hits]])</f>
        <v>38.113333200000007</v>
      </c>
      <c r="K16" s="93">
        <f t="shared" si="3"/>
        <v>41.184259166666671</v>
      </c>
      <c r="L16" s="95">
        <f>IF(SUM(F6:F16)=0,SUM(D6:D16),SUM(D6:D16)/SUM(F6:F16))</f>
        <v>38.540462916666669</v>
      </c>
    </row>
    <row r="17" spans="1:12">
      <c r="A17" s="93">
        <v>2513</v>
      </c>
      <c r="B17" s="86" t="str">
        <f>"wk"&amp;MTBF_field[[#This Row],[Week]]</f>
        <v>wk2513</v>
      </c>
      <c r="C17" s="93">
        <f>SUMIFS(Runhours_Table[Productive Hours],Runhours_Table[Year-Week Number],MTBF_field[[#This Row],[Week]])</f>
        <v>128.95361199999999</v>
      </c>
      <c r="D17" s="93">
        <f>SUMIFS(Runhours_Table[Up Time],Runhours_Table[Year-Week Number],MTBF_field[[#This Row],[Week]])</f>
        <v>180.45</v>
      </c>
      <c r="E17" s="89">
        <f>'Daily Run Hours'!P40</f>
        <v>3</v>
      </c>
      <c r="F17" s="89">
        <f>'Daily Run Hours'!Q40</f>
        <v>3</v>
      </c>
      <c r="G17" s="95">
        <f>IF(MTBF_field[[#This Row],[P hits]]=0,MTBF_field[[#This Row],[Productive time '[hrs']]],MTBF_field[[#This Row],[Productive time '[hrs']]]/MTBF_field[[#This Row],[P hits]])</f>
        <v>42.984537333333328</v>
      </c>
      <c r="H17" s="95">
        <f t="shared" si="2"/>
        <v>33.789662857142851</v>
      </c>
      <c r="I17" s="95">
        <f>IF(SUM(E6:E17)=0,SUM(C6:C17),SUM(C6:C17)/SUM(E6:E17))</f>
        <v>47.804781272727269</v>
      </c>
      <c r="J17" s="95">
        <f>IF(MTBF_field[[#This Row],[U hits]]=0,MTBF_field[[#This Row],[Uptime '[hrs']]],MTBF_field[[#This Row],[Uptime '[hrs']]]/MTBF_field[[#This Row],[U hits]])</f>
        <v>60.15</v>
      </c>
      <c r="K17" s="93">
        <f t="shared" si="3"/>
        <v>39.821052526315796</v>
      </c>
      <c r="L17" s="95">
        <f>IF(SUM(F6:F17)=0,SUM(D6:D17),SUM(D6:D17)/SUM(F6:F17))</f>
        <v>39.569488492063492</v>
      </c>
    </row>
    <row r="18" spans="1:12">
      <c r="A18" s="93">
        <v>2514</v>
      </c>
      <c r="B18" s="86" t="str">
        <f>"wk"&amp;MTBF_field[[#This Row],[Week]]</f>
        <v>wk2514</v>
      </c>
      <c r="C18" s="93">
        <f>SUMIFS(Runhours_Table[Productive Hours],Runhours_Table[Year-Week Number],MTBF_field[[#This Row],[Week]])</f>
        <v>120.55138799999999</v>
      </c>
      <c r="D18" s="93">
        <f>SUMIFS(Runhours_Table[Up Time],Runhours_Table[Year-Week Number],MTBF_field[[#This Row],[Week]])</f>
        <v>176.66666700000002</v>
      </c>
      <c r="E18" s="89">
        <f>'Daily Run Hours'!P41</f>
        <v>11</v>
      </c>
      <c r="F18" s="89">
        <f>'Daily Run Hours'!Q41</f>
        <v>11</v>
      </c>
      <c r="G18" s="95">
        <f>IF(MTBF_field[[#This Row],[P hits]]=0,MTBF_field[[#This Row],[Productive time '[hrs']]],MTBF_field[[#This Row],[Productive time '[hrs']]]/MTBF_field[[#This Row],[P hits]])</f>
        <v>10.959217090909091</v>
      </c>
      <c r="H18" s="95">
        <f t="shared" si="2"/>
        <v>21.116401545454547</v>
      </c>
      <c r="I18" s="95">
        <f t="shared" ref="I18:I20" si="4">IF(SUM(E6:E18)=0,SUM(C6:C18),SUM(C6:C18)/SUM(E6:E18))</f>
        <v>38.593390227272728</v>
      </c>
      <c r="J18" s="95">
        <f>IF(MTBF_field[[#This Row],[U hits]]=0,MTBF_field[[#This Row],[Uptime '[hrs']]],MTBF_field[[#This Row],[Uptime '[hrs']]]/MTBF_field[[#This Row],[U hits]])</f>
        <v>16.060606090909094</v>
      </c>
      <c r="K18" s="93">
        <f t="shared" si="3"/>
        <v>27.191357962962961</v>
      </c>
      <c r="L18" s="95">
        <f t="shared" ref="L18:L20" si="5">IF(SUM(F6:F18)=0,SUM(D6:D18),SUM(D6:D18)/SUM(F6:F18))</f>
        <v>36.074924891891889</v>
      </c>
    </row>
    <row r="19" spans="1:12">
      <c r="A19" s="93">
        <v>2515</v>
      </c>
      <c r="B19" s="86" t="str">
        <f>"wk"&amp;MTBF_field[[#This Row],[Week]]</f>
        <v>wk2515</v>
      </c>
      <c r="C19" s="93">
        <f>SUMIFS(Runhours_Table[Productive Hours],Runhours_Table[Year-Week Number],MTBF_field[[#This Row],[Week]])</f>
        <v>144.16499899999999</v>
      </c>
      <c r="D19" s="93">
        <f>SUMIFS(Runhours_Table[Up Time],Runhours_Table[Year-Week Number],MTBF_field[[#This Row],[Week]])</f>
        <v>227.34999800000003</v>
      </c>
      <c r="E19" s="89">
        <f>'Daily Run Hours'!P42</f>
        <v>2</v>
      </c>
      <c r="F19" s="89">
        <f>'Daily Run Hours'!Q42</f>
        <v>3</v>
      </c>
      <c r="G19" s="95">
        <f>IF(MTBF_field[[#This Row],[P hits]]=0,MTBF_field[[#This Row],[Productive time '[hrs']]],MTBF_field[[#This Row],[Productive time '[hrs']]]/MTBF_field[[#This Row],[P hits]])</f>
        <v>72.082499499999997</v>
      </c>
      <c r="H19" s="95">
        <f t="shared" si="2"/>
        <v>26.378654947368421</v>
      </c>
      <c r="I19" s="95">
        <f t="shared" si="4"/>
        <v>39.850562069767442</v>
      </c>
      <c r="J19" s="95">
        <f>IF(MTBF_field[[#This Row],[U hits]]=0,MTBF_field[[#This Row],[Uptime '[hrs']]],MTBF_field[[#This Row],[Uptime '[hrs']]]/MTBF_field[[#This Row],[U hits]])</f>
        <v>75.783332666666681</v>
      </c>
      <c r="K19" s="93">
        <f t="shared" si="3"/>
        <v>35.228787772727273</v>
      </c>
      <c r="L19" s="95">
        <f t="shared" si="5"/>
        <v>39.321977058823528</v>
      </c>
    </row>
    <row r="20" spans="1:12">
      <c r="A20" s="93">
        <v>2516</v>
      </c>
      <c r="B20" s="86" t="str">
        <f>"wk"&amp;MTBF_field[[#This Row],[Week]]</f>
        <v>wk2516</v>
      </c>
      <c r="C20" s="93">
        <f>SUMIFS(Runhours_Table[Productive Hours],Runhours_Table[Year-Week Number],MTBF_field[[#This Row],[Week]])</f>
        <v>185.76416699999999</v>
      </c>
      <c r="D20" s="93">
        <f>SUMIFS(Runhours_Table[Up Time],Runhours_Table[Year-Week Number],MTBF_field[[#This Row],[Week]])</f>
        <v>266.71666699999997</v>
      </c>
      <c r="E20" s="89">
        <f>'Daily Run Hours'!P43</f>
        <v>1</v>
      </c>
      <c r="F20" s="89">
        <f>'Daily Run Hours'!Q43</f>
        <v>3</v>
      </c>
      <c r="G20" s="95">
        <f>IF(MTBF_field[[#This Row],[P hits]]=0,MTBF_field[[#This Row],[Productive time '[hrs']]],MTBF_field[[#This Row],[Productive time '[hrs']]]/MTBF_field[[#This Row],[P hits]])</f>
        <v>185.76416699999999</v>
      </c>
      <c r="H20" s="95">
        <f t="shared" si="2"/>
        <v>34.084362705882356</v>
      </c>
      <c r="I20" s="95">
        <f t="shared" si="4"/>
        <v>40.164507636363638</v>
      </c>
      <c r="J20" s="95">
        <f>IF(MTBF_field[[#This Row],[U hits]]=0,MTBF_field[[#This Row],[Uptime '[hrs']]],MTBF_field[[#This Row],[Uptime '[hrs']]]/MTBF_field[[#This Row],[U hits]])</f>
        <v>88.905555666666658</v>
      </c>
      <c r="K20" s="93">
        <f t="shared" si="3"/>
        <v>42.559166600000005</v>
      </c>
      <c r="L20" s="95">
        <f t="shared" si="5"/>
        <v>38.99436386956522</v>
      </c>
    </row>
    <row r="21" spans="1:12">
      <c r="A21" s="93">
        <v>2517</v>
      </c>
      <c r="B21" s="86" t="str">
        <f>"wk"&amp;MTBF_field[[#This Row],[Week]]</f>
        <v>wk2517</v>
      </c>
      <c r="C21" s="93">
        <f>SUMIFS(Runhours_Table[Productive Hours],Runhours_Table[Year-Week Number],MTBF_field[[#This Row],[Week]])</f>
        <v>125.045278</v>
      </c>
      <c r="D21" s="93">
        <f>SUMIFS(Runhours_Table[Up Time],Runhours_Table[Year-Week Number],MTBF_field[[#This Row],[Week]])</f>
        <v>168.133332</v>
      </c>
      <c r="E21" s="89">
        <f>'Daily Run Hours'!P44</f>
        <v>2</v>
      </c>
      <c r="F21" s="89">
        <f>'Daily Run Hours'!Q44</f>
        <v>4</v>
      </c>
      <c r="G21" s="95">
        <f>IF(MTBF_field[[#This Row],[P hits]]=0,MTBF_field[[#This Row],[Productive time '[hrs']]],MTBF_field[[#This Row],[Productive time '[hrs']]]/MTBF_field[[#This Row],[P hits]])</f>
        <v>62.522638999999998</v>
      </c>
      <c r="H21" s="95">
        <f t="shared" ref="H21:H30" si="6">IF(SUM(E18:E21)=0,SUM(C18:C21),SUM(C18:C21)/SUM(E18:E21))</f>
        <v>35.970364500000002</v>
      </c>
      <c r="I21" s="95">
        <f t="shared" ref="I21:I30" si="7">IF(SUM(E9:E21)=0,SUM(C9:C21),SUM(C9:C21)/SUM(E9:E21))</f>
        <v>38.068556782608695</v>
      </c>
      <c r="J21" s="95">
        <f>IF(MTBF_field[[#This Row],[U hits]]=0,MTBF_field[[#This Row],[Uptime '[hrs']]],MTBF_field[[#This Row],[Uptime '[hrs']]]/MTBF_field[[#This Row],[U hits]])</f>
        <v>42.033332999999999</v>
      </c>
      <c r="K21" s="93">
        <f t="shared" ref="K21:K30" si="8">IF(SUM(F18:F21)=0,SUM(D18:D21),SUM(D18:D21)/SUM(F18:F21))</f>
        <v>39.946031619047616</v>
      </c>
      <c r="L21" s="95">
        <f t="shared" ref="L21:L30" si="9">IF(SUM(F9:F21)=0,SUM(D9:D21),SUM(D9:D21)/SUM(F9:F21))</f>
        <v>42.302329661290322</v>
      </c>
    </row>
    <row r="22" spans="1:12">
      <c r="A22" s="93">
        <v>2518</v>
      </c>
      <c r="B22" s="86" t="str">
        <f>"wk"&amp;MTBF_field[[#This Row],[Week]]</f>
        <v>wk2518</v>
      </c>
      <c r="C22" s="93">
        <f>SUMIFS(Runhours_Table[Productive Hours],Runhours_Table[Year-Week Number],MTBF_field[[#This Row],[Week]])</f>
        <v>150.771388</v>
      </c>
      <c r="D22" s="93">
        <f>SUMIFS(Runhours_Table[Up Time],Runhours_Table[Year-Week Number],MTBF_field[[#This Row],[Week]])</f>
        <v>222.68333100000001</v>
      </c>
      <c r="E22" s="89">
        <f>'Daily Run Hours'!P45</f>
        <v>1</v>
      </c>
      <c r="F22" s="89">
        <f>'Daily Run Hours'!Q45</f>
        <v>3</v>
      </c>
      <c r="G22" s="95">
        <f>IF(MTBF_field[[#This Row],[P hits]]=0,MTBF_field[[#This Row],[Productive time '[hrs']]],MTBF_field[[#This Row],[Productive time '[hrs']]]/MTBF_field[[#This Row],[P hits]])</f>
        <v>150.771388</v>
      </c>
      <c r="H22" s="95">
        <f t="shared" si="6"/>
        <v>100.95763866666668</v>
      </c>
      <c r="I22" s="95">
        <f t="shared" si="7"/>
        <v>43.302852317073182</v>
      </c>
      <c r="J22" s="95">
        <f>IF(MTBF_field[[#This Row],[U hits]]=0,MTBF_field[[#This Row],[Uptime '[hrs']]],MTBF_field[[#This Row],[Uptime '[hrs']]]/MTBF_field[[#This Row],[U hits]])</f>
        <v>74.227777000000003</v>
      </c>
      <c r="K22" s="93">
        <f t="shared" si="8"/>
        <v>68.067948307692305</v>
      </c>
      <c r="L22" s="95">
        <f t="shared" si="9"/>
        <v>48.867171563636369</v>
      </c>
    </row>
    <row r="23" spans="1:12">
      <c r="A23" s="93">
        <v>2519</v>
      </c>
      <c r="B23" s="86" t="str">
        <f>"wk"&amp;MTBF_field[[#This Row],[Week]]</f>
        <v>wk2519</v>
      </c>
      <c r="C23" s="93">
        <f>SUMIFS(Runhours_Table[Productive Hours],Runhours_Table[Year-Week Number],MTBF_field[[#This Row],[Week]])</f>
        <v>134.948612</v>
      </c>
      <c r="D23" s="93">
        <f>SUMIFS(Runhours_Table[Up Time],Runhours_Table[Year-Week Number],MTBF_field[[#This Row],[Week]])</f>
        <v>235.76666700000001</v>
      </c>
      <c r="E23" s="89">
        <f>'Daily Run Hours'!P46</f>
        <v>1</v>
      </c>
      <c r="F23" s="89">
        <f>'Daily Run Hours'!Q46</f>
        <v>2</v>
      </c>
      <c r="G23" s="95">
        <f>IF(MTBF_field[[#This Row],[P hits]]=0,MTBF_field[[#This Row],[Productive time '[hrs']]],MTBF_field[[#This Row],[Productive time '[hrs']]]/MTBF_field[[#This Row],[P hits]])</f>
        <v>134.948612</v>
      </c>
      <c r="H23" s="95">
        <f t="shared" si="6"/>
        <v>119.30588900000001</v>
      </c>
      <c r="I23" s="95">
        <f t="shared" si="7"/>
        <v>45.831901769230775</v>
      </c>
      <c r="J23" s="95">
        <f>IF(MTBF_field[[#This Row],[U hits]]=0,MTBF_field[[#This Row],[Uptime '[hrs']]],MTBF_field[[#This Row],[Uptime '[hrs']]]/MTBF_field[[#This Row],[U hits]])</f>
        <v>117.88333350000001</v>
      </c>
      <c r="K23" s="93">
        <f t="shared" si="8"/>
        <v>74.441666416666664</v>
      </c>
      <c r="L23" s="95">
        <f t="shared" si="9"/>
        <v>50.42530851851852</v>
      </c>
    </row>
    <row r="24" spans="1:12">
      <c r="A24" s="93">
        <v>2520</v>
      </c>
      <c r="B24" s="86" t="str">
        <f>"wk"&amp;MTBF_field[[#This Row],[Week]]</f>
        <v>wk2520</v>
      </c>
      <c r="C24" s="93">
        <f>SUMIFS(Runhours_Table[Productive Hours],Runhours_Table[Year-Week Number],MTBF_field[[#This Row],[Week]])</f>
        <v>172.93027899999998</v>
      </c>
      <c r="D24" s="93">
        <f>SUMIFS(Runhours_Table[Up Time],Runhours_Table[Year-Week Number],MTBF_field[[#This Row],[Week]])</f>
        <v>259.79999999999995</v>
      </c>
      <c r="E24" s="89">
        <f>'Daily Run Hours'!P47</f>
        <v>3</v>
      </c>
      <c r="F24" s="89">
        <f>'Daily Run Hours'!Q47</f>
        <v>4</v>
      </c>
      <c r="G24" s="95">
        <f>IF(MTBF_field[[#This Row],[P hits]]=0,MTBF_field[[#This Row],[Productive time '[hrs']]],MTBF_field[[#This Row],[Productive time '[hrs']]]/MTBF_field[[#This Row],[P hits]])</f>
        <v>57.643426333333331</v>
      </c>
      <c r="H24" s="95">
        <f t="shared" si="6"/>
        <v>83.385079571428577</v>
      </c>
      <c r="I24" s="95">
        <f t="shared" si="7"/>
        <v>45.165069525</v>
      </c>
      <c r="J24" s="95">
        <f>IF(MTBF_field[[#This Row],[U hits]]=0,MTBF_field[[#This Row],[Uptime '[hrs']]],MTBF_field[[#This Row],[Uptime '[hrs']]]/MTBF_field[[#This Row],[U hits]])</f>
        <v>64.949999999999989</v>
      </c>
      <c r="K24" s="93">
        <f t="shared" si="8"/>
        <v>68.183333076923077</v>
      </c>
      <c r="L24" s="95">
        <f t="shared" si="9"/>
        <v>49.670605963636362</v>
      </c>
    </row>
    <row r="25" spans="1:12">
      <c r="A25" s="93">
        <v>2521</v>
      </c>
      <c r="B25" s="86" t="str">
        <f>"wk"&amp;MTBF_field[[#This Row],[Week]]</f>
        <v>wk2521</v>
      </c>
      <c r="C25" s="93">
        <f>SUMIFS(Runhours_Table[Productive Hours],Runhours_Table[Year-Week Number],MTBF_field[[#This Row],[Week]])</f>
        <v>173.96250000000001</v>
      </c>
      <c r="D25" s="93">
        <f>SUMIFS(Runhours_Table[Up Time],Runhours_Table[Year-Week Number],MTBF_field[[#This Row],[Week]])</f>
        <v>261.09999999999997</v>
      </c>
      <c r="E25" s="89">
        <f>'Daily Run Hours'!P48</f>
        <v>5</v>
      </c>
      <c r="F25" s="89">
        <f>'Daily Run Hours'!Q48</f>
        <v>5</v>
      </c>
      <c r="G25" s="95">
        <f>IF(MTBF_field[[#This Row],[P hits]]=0,MTBF_field[[#This Row],[Productive time '[hrs']]],MTBF_field[[#This Row],[Productive time '[hrs']]]/MTBF_field[[#This Row],[P hits]])</f>
        <v>34.792500000000004</v>
      </c>
      <c r="H25" s="95">
        <f t="shared" si="6"/>
        <v>63.261277900000003</v>
      </c>
      <c r="I25" s="95">
        <f t="shared" si="7"/>
        <v>43.035886309523804</v>
      </c>
      <c r="J25" s="95">
        <f>IF(MTBF_field[[#This Row],[U hits]]=0,MTBF_field[[#This Row],[Uptime '[hrs']]],MTBF_field[[#This Row],[Uptime '[hrs']]]/MTBF_field[[#This Row],[U hits]])</f>
        <v>52.219999999999992</v>
      </c>
      <c r="K25" s="93">
        <f t="shared" si="8"/>
        <v>69.953571285714276</v>
      </c>
      <c r="L25" s="95">
        <f t="shared" si="9"/>
        <v>48.928273696428576</v>
      </c>
    </row>
    <row r="26" spans="1:12">
      <c r="A26" s="93">
        <v>2522</v>
      </c>
      <c r="B26" s="86" t="str">
        <f>"wk"&amp;MTBF_field[[#This Row],[Week]]</f>
        <v>wk2522</v>
      </c>
      <c r="C26" s="93">
        <f>SUMIFS(Runhours_Table[Productive Hours],Runhours_Table[Year-Week Number],MTBF_field[[#This Row],[Week]])</f>
        <v>198.59722399999998</v>
      </c>
      <c r="D26" s="93">
        <f>SUMIFS(Runhours_Table[Up Time],Runhours_Table[Year-Week Number],MTBF_field[[#This Row],[Week]])</f>
        <v>262.91666900000001</v>
      </c>
      <c r="E26" s="89">
        <f>'Daily Run Hours'!P49</f>
        <v>2</v>
      </c>
      <c r="F26" s="89">
        <f>'Daily Run Hours'!Q49</f>
        <v>2</v>
      </c>
      <c r="G26" s="95">
        <f>IF(MTBF_field[[#This Row],[P hits]]=0,MTBF_field[[#This Row],[Productive time '[hrs']]],MTBF_field[[#This Row],[Productive time '[hrs']]]/MTBF_field[[#This Row],[P hits]])</f>
        <v>99.298611999999991</v>
      </c>
      <c r="H26" s="95">
        <f t="shared" si="6"/>
        <v>61.858055909090901</v>
      </c>
      <c r="I26" s="95">
        <f t="shared" si="7"/>
        <v>44.756931309523807</v>
      </c>
      <c r="J26" s="95">
        <f>IF(MTBF_field[[#This Row],[U hits]]=0,MTBF_field[[#This Row],[Uptime '[hrs']]],MTBF_field[[#This Row],[Uptime '[hrs']]]/MTBF_field[[#This Row],[U hits]])</f>
        <v>131.45833450000001</v>
      </c>
      <c r="K26" s="93">
        <f t="shared" si="8"/>
        <v>78.429487384615385</v>
      </c>
      <c r="L26" s="95">
        <f t="shared" si="9"/>
        <v>50.673809446428571</v>
      </c>
    </row>
    <row r="27" spans="1:12">
      <c r="A27" s="93">
        <v>2523</v>
      </c>
      <c r="B27" s="86" t="str">
        <f>"wk"&amp;MTBF_field[[#This Row],[Week]]</f>
        <v>wk2523</v>
      </c>
      <c r="C27" s="93">
        <f>SUMIFS(Runhours_Table[Productive Hours],Runhours_Table[Year-Week Number],MTBF_field[[#This Row],[Week]])</f>
        <v>186.11972500000002</v>
      </c>
      <c r="D27" s="93">
        <f>SUMIFS(Runhours_Table[Up Time],Runhours_Table[Year-Week Number],MTBF_field[[#This Row],[Week]])</f>
        <v>267.93333600000005</v>
      </c>
      <c r="E27" s="89">
        <f>'Daily Run Hours'!P50</f>
        <v>0</v>
      </c>
      <c r="F27" s="89">
        <f>'Daily Run Hours'!Q50</f>
        <v>0</v>
      </c>
      <c r="G27" s="95">
        <f>IF(MTBF_field[[#This Row],[P hits]]=0,MTBF_field[[#This Row],[Productive time '[hrs']]],MTBF_field[[#This Row],[Productive time '[hrs']]]/MTBF_field[[#This Row],[P hits]])</f>
        <v>186.11972500000002</v>
      </c>
      <c r="H27" s="95">
        <f t="shared" si="6"/>
        <v>73.160972799999996</v>
      </c>
      <c r="I27" s="95">
        <f t="shared" si="7"/>
        <v>49.66320528205128</v>
      </c>
      <c r="J27" s="95">
        <f>IF(MTBF_field[[#This Row],[U hits]]=0,MTBF_field[[#This Row],[Uptime '[hrs']]],MTBF_field[[#This Row],[Uptime '[hrs']]]/MTBF_field[[#This Row],[U hits]])</f>
        <v>267.93333600000005</v>
      </c>
      <c r="K27" s="93">
        <f t="shared" si="8"/>
        <v>95.613636818181803</v>
      </c>
      <c r="L27" s="95">
        <f t="shared" si="9"/>
        <v>54.840880471698107</v>
      </c>
    </row>
    <row r="28" spans="1:12">
      <c r="A28" s="93">
        <v>2524</v>
      </c>
      <c r="B28" s="86" t="str">
        <f>"wk"&amp;MTBF_field[[#This Row],[Week]]</f>
        <v>wk2524</v>
      </c>
      <c r="C28" s="93">
        <f>SUMIFS(Runhours_Table[Productive Hours],Runhours_Table[Year-Week Number],MTBF_field[[#This Row],[Week]])</f>
        <v>178.75972199999998</v>
      </c>
      <c r="D28" s="93">
        <f>SUMIFS(Runhours_Table[Up Time],Runhours_Table[Year-Week Number],MTBF_field[[#This Row],[Week]])</f>
        <v>250.55972199999999</v>
      </c>
      <c r="E28" s="89">
        <f>'Daily Run Hours'!P51</f>
        <v>1</v>
      </c>
      <c r="F28" s="89">
        <f>'Daily Run Hours'!Q51</f>
        <v>2</v>
      </c>
      <c r="G28" s="95">
        <f>IF(MTBF_field[[#This Row],[P hits]]=0,MTBF_field[[#This Row],[Productive time '[hrs']]],MTBF_field[[#This Row],[Productive time '[hrs']]]/MTBF_field[[#This Row],[P hits]])</f>
        <v>178.75972199999998</v>
      </c>
      <c r="H28" s="95">
        <f t="shared" si="6"/>
        <v>92.179896374999998</v>
      </c>
      <c r="I28" s="95">
        <f t="shared" si="7"/>
        <v>57.374095400000009</v>
      </c>
      <c r="J28" s="95">
        <f>IF(MTBF_field[[#This Row],[U hits]]=0,MTBF_field[[#This Row],[Uptime '[hrs']]],MTBF_field[[#This Row],[Uptime '[hrs']]]/MTBF_field[[#This Row],[U hits]])</f>
        <v>125.279861</v>
      </c>
      <c r="K28" s="93">
        <f t="shared" si="8"/>
        <v>115.83441411111113</v>
      </c>
      <c r="L28" s="95">
        <f t="shared" si="9"/>
        <v>63.205171382978733</v>
      </c>
    </row>
    <row r="29" spans="1:12">
      <c r="A29" s="93">
        <v>2525</v>
      </c>
      <c r="B29" s="86" t="str">
        <f>"wk"&amp;MTBF_field[[#This Row],[Week]]</f>
        <v>wk2525</v>
      </c>
      <c r="C29" s="93">
        <f>SUMIFS(Runhours_Table[Productive Hours],Runhours_Table[Year-Week Number],MTBF_field[[#This Row],[Week]])</f>
        <v>0</v>
      </c>
      <c r="D29" s="93">
        <f>SUMIFS(Runhours_Table[Up Time],Runhours_Table[Year-Week Number],MTBF_field[[#This Row],[Week]])</f>
        <v>0</v>
      </c>
      <c r="E29" s="89">
        <f>'Daily Run Hours'!P52</f>
        <v>3</v>
      </c>
      <c r="F29" s="89">
        <f>'Daily Run Hours'!Q52</f>
        <v>3</v>
      </c>
      <c r="G29" s="95">
        <f>IF(MTBF_field[[#This Row],[P hits]]=0,MTBF_field[[#This Row],[Productive time '[hrs']]],MTBF_field[[#This Row],[Productive time '[hrs']]]/MTBF_field[[#This Row],[P hits]])</f>
        <v>0</v>
      </c>
      <c r="H29" s="95">
        <f t="shared" si="6"/>
        <v>93.912778500000002</v>
      </c>
      <c r="I29" s="95">
        <f t="shared" si="7"/>
        <v>54.301968400000007</v>
      </c>
      <c r="J29" s="95">
        <f>IF(MTBF_field[[#This Row],[U hits]]=0,MTBF_field[[#This Row],[Uptime '[hrs']]],MTBF_field[[#This Row],[Uptime '[hrs']]]/MTBF_field[[#This Row],[U hits]])</f>
        <v>0</v>
      </c>
      <c r="K29" s="93">
        <f t="shared" si="8"/>
        <v>111.62996099999999</v>
      </c>
      <c r="L29" s="95">
        <f t="shared" si="9"/>
        <v>61.779475311111121</v>
      </c>
    </row>
    <row r="30" spans="1:12">
      <c r="A30" s="93">
        <v>2526</v>
      </c>
      <c r="B30" s="86" t="str">
        <f>"wk"&amp;MTBF_field[[#This Row],[Week]]</f>
        <v>wk2526</v>
      </c>
      <c r="C30" s="93">
        <f>SUMIFS(Runhours_Table[Productive Hours],Runhours_Table[Year-Week Number],MTBF_field[[#This Row],[Week]])</f>
        <v>0</v>
      </c>
      <c r="D30" s="93">
        <f>SUMIFS(Runhours_Table[Up Time],Runhours_Table[Year-Week Number],MTBF_field[[#This Row],[Week]])</f>
        <v>0</v>
      </c>
      <c r="E30" s="89">
        <f>'Daily Run Hours'!P53</f>
        <v>2</v>
      </c>
      <c r="F30" s="89">
        <f>'Daily Run Hours'!Q53</f>
        <v>2</v>
      </c>
      <c r="G30" s="95">
        <f>IF(MTBF_field[[#This Row],[P hits]]=0,MTBF_field[[#This Row],[Productive time '[hrs']]],MTBF_field[[#This Row],[Productive time '[hrs']]]/MTBF_field[[#This Row],[P hits]])</f>
        <v>0</v>
      </c>
      <c r="H30" s="95">
        <f t="shared" si="6"/>
        <v>60.813241166666671</v>
      </c>
      <c r="I30" s="95">
        <f t="shared" si="7"/>
        <v>52.106331823529409</v>
      </c>
      <c r="J30" s="95">
        <f>IF(MTBF_field[[#This Row],[U hits]]=0,MTBF_field[[#This Row],[Uptime '[hrs']]],MTBF_field[[#This Row],[Uptime '[hrs']]]/MTBF_field[[#This Row],[U hits]])</f>
        <v>0</v>
      </c>
      <c r="K30" s="93">
        <f t="shared" si="8"/>
        <v>74.070436857142866</v>
      </c>
      <c r="L30" s="95">
        <f t="shared" si="9"/>
        <v>59.082417931818185</v>
      </c>
    </row>
    <row r="31" spans="1:12">
      <c r="A31" s="93">
        <v>2526</v>
      </c>
      <c r="B31" s="86" t="str">
        <f>"wk"&amp;MTBF_field[[#This Row],[Week]]</f>
        <v>wk2526</v>
      </c>
      <c r="C31" s="93">
        <f>SUMIFS(Runhours_Table[Productive Hours],Runhours_Table[Year-Week Number],MTBF_field[[#This Row],[Week]])</f>
        <v>0</v>
      </c>
      <c r="D31" s="93">
        <f>SUMIFS(Runhours_Table[Up Time],Runhours_Table[Year-Week Number],MTBF_field[[#This Row],[Week]])</f>
        <v>0</v>
      </c>
      <c r="E31" s="89">
        <f>'Daily Run Hours'!P54</f>
        <v>2</v>
      </c>
      <c r="F31" s="89">
        <f>'Daily Run Hours'!Q54</f>
        <v>2</v>
      </c>
      <c r="G31" s="95">
        <f>IF(MTBF_field[[#This Row],[P hits]]=0,MTBF_field[[#This Row],[Productive time '[hrs']]],MTBF_field[[#This Row],[Productive time '[hrs']]]/MTBF_field[[#This Row],[P hits]])</f>
        <v>0</v>
      </c>
      <c r="H31" s="95">
        <f t="shared" ref="H31:H36" si="10">IF(SUM(E28:E31)=0,SUM(C28:C31),SUM(C28:C31)/SUM(E28:E31))</f>
        <v>22.344965249999998</v>
      </c>
      <c r="I31" s="95">
        <f t="shared" ref="I31:I36" si="11">IF(SUM(E19:E31)=0,SUM(C19:C31),SUM(C19:C31)/SUM(E19:E31))</f>
        <v>66.042555759999999</v>
      </c>
      <c r="J31" s="95">
        <f>IF(MTBF_field[[#This Row],[U hits]]=0,MTBF_field[[#This Row],[Uptime '[hrs']]],MTBF_field[[#This Row],[Uptime '[hrs']]]/MTBF_field[[#This Row],[U hits]])</f>
        <v>0</v>
      </c>
      <c r="K31" s="93">
        <f t="shared" ref="K31:K36" si="12">IF(SUM(F28:F31)=0,SUM(D28:D31),SUM(D28:D31)/SUM(F28:F31))</f>
        <v>27.83996911111111</v>
      </c>
      <c r="L31" s="95">
        <f t="shared" ref="L31:L36" si="13">IF(SUM(F19:F31)=0,SUM(D19:D31),SUM(D19:D31)/SUM(F19:F31))</f>
        <v>69.227420628571423</v>
      </c>
    </row>
    <row r="32" spans="1:12">
      <c r="A32" s="93">
        <v>2526</v>
      </c>
      <c r="B32" s="86" t="str">
        <f>"wk"&amp;MTBF_field[[#This Row],[Week]]</f>
        <v>wk2526</v>
      </c>
      <c r="C32" s="93">
        <f>SUMIFS(Runhours_Table[Productive Hours],Runhours_Table[Year-Week Number],MTBF_field[[#This Row],[Week]])</f>
        <v>0</v>
      </c>
      <c r="D32" s="93">
        <f>SUMIFS(Runhours_Table[Up Time],Runhours_Table[Year-Week Number],MTBF_field[[#This Row],[Week]])</f>
        <v>0</v>
      </c>
      <c r="E32" s="89">
        <f>'Daily Run Hours'!P55</f>
        <v>0</v>
      </c>
      <c r="F32" s="89">
        <f>'Daily Run Hours'!Q55</f>
        <v>0</v>
      </c>
      <c r="G32" s="95">
        <f>IF(MTBF_field[[#This Row],[P hits]]=0,MTBF_field[[#This Row],[Productive time '[hrs']]],MTBF_field[[#This Row],[Productive time '[hrs']]]/MTBF_field[[#This Row],[P hits]])</f>
        <v>0</v>
      </c>
      <c r="H32" s="95">
        <f t="shared" si="10"/>
        <v>0</v>
      </c>
      <c r="I32" s="95">
        <f t="shared" si="11"/>
        <v>65.517343260869566</v>
      </c>
      <c r="J32" s="95">
        <f>IF(MTBF_field[[#This Row],[U hits]]=0,MTBF_field[[#This Row],[Uptime '[hrs']]],MTBF_field[[#This Row],[Uptime '[hrs']]]/MTBF_field[[#This Row],[U hits]])</f>
        <v>0</v>
      </c>
      <c r="K32" s="93">
        <f t="shared" si="12"/>
        <v>0</v>
      </c>
      <c r="L32" s="95">
        <f t="shared" si="13"/>
        <v>68.612803874999997</v>
      </c>
    </row>
    <row r="33" spans="1:12">
      <c r="A33" s="93">
        <v>2526</v>
      </c>
      <c r="B33" s="86" t="str">
        <f>"wk"&amp;MTBF_field[[#This Row],[Week]]</f>
        <v>wk2526</v>
      </c>
      <c r="C33" s="93">
        <f>SUMIFS(Runhours_Table[Productive Hours],Runhours_Table[Year-Week Number],MTBF_field[[#This Row],[Week]])</f>
        <v>0</v>
      </c>
      <c r="D33" s="93">
        <f>SUMIFS(Runhours_Table[Up Time],Runhours_Table[Year-Week Number],MTBF_field[[#This Row],[Week]])</f>
        <v>0</v>
      </c>
      <c r="E33" s="89">
        <f>'Daily Run Hours'!P56</f>
        <v>2</v>
      </c>
      <c r="F33" s="89">
        <f>'Daily Run Hours'!Q56</f>
        <v>3</v>
      </c>
      <c r="G33" s="95">
        <f>IF(MTBF_field[[#This Row],[P hits]]=0,MTBF_field[[#This Row],[Productive time '[hrs']]],MTBF_field[[#This Row],[Productive time '[hrs']]]/MTBF_field[[#This Row],[P hits]])</f>
        <v>0</v>
      </c>
      <c r="H33" s="95">
        <f t="shared" si="10"/>
        <v>0</v>
      </c>
      <c r="I33" s="95">
        <f t="shared" si="11"/>
        <v>55.047280333333333</v>
      </c>
      <c r="J33" s="95">
        <f>IF(MTBF_field[[#This Row],[U hits]]=0,MTBF_field[[#This Row],[Uptime '[hrs']]],MTBF_field[[#This Row],[Uptime '[hrs']]]/MTBF_field[[#This Row],[U hits]])</f>
        <v>0</v>
      </c>
      <c r="K33" s="93">
        <f t="shared" si="12"/>
        <v>0</v>
      </c>
      <c r="L33" s="95">
        <f t="shared" si="13"/>
        <v>60.27790803125</v>
      </c>
    </row>
    <row r="34" spans="1:12">
      <c r="A34" s="93">
        <v>2526</v>
      </c>
      <c r="B34" s="86" t="str">
        <f>"wk"&amp;MTBF_field[[#This Row],[Week]]</f>
        <v>wk2526</v>
      </c>
      <c r="C34" s="93">
        <f>SUMIFS(Runhours_Table[Productive Hours],Runhours_Table[Year-Week Number],MTBF_field[[#This Row],[Week]])</f>
        <v>0</v>
      </c>
      <c r="D34" s="93">
        <f>SUMIFS(Runhours_Table[Up Time],Runhours_Table[Year-Week Number],MTBF_field[[#This Row],[Week]])</f>
        <v>0</v>
      </c>
      <c r="E34" s="89">
        <f>'Daily Run Hours'!P57</f>
        <v>3</v>
      </c>
      <c r="F34" s="89">
        <f>'Daily Run Hours'!Q57</f>
        <v>3</v>
      </c>
      <c r="G34" s="95">
        <f>IF(MTBF_field[[#This Row],[P hits]]=0,MTBF_field[[#This Row],[Productive time '[hrs']]],MTBF_field[[#This Row],[Productive time '[hrs']]]/MTBF_field[[#This Row],[P hits]])</f>
        <v>0</v>
      </c>
      <c r="H34" s="95">
        <f t="shared" si="10"/>
        <v>0</v>
      </c>
      <c r="I34" s="95">
        <f t="shared" si="11"/>
        <v>47.843578000000001</v>
      </c>
      <c r="J34" s="95">
        <f>IF(MTBF_field[[#This Row],[U hits]]=0,MTBF_field[[#This Row],[Uptime '[hrs']]],MTBF_field[[#This Row],[Uptime '[hrs']]]/MTBF_field[[#This Row],[U hits]])</f>
        <v>0</v>
      </c>
      <c r="K34" s="93">
        <f t="shared" si="12"/>
        <v>0</v>
      </c>
      <c r="L34" s="95">
        <f t="shared" si="13"/>
        <v>56.798700806451606</v>
      </c>
    </row>
    <row r="35" spans="1:12">
      <c r="A35" s="93">
        <v>2526</v>
      </c>
      <c r="B35" s="86" t="str">
        <f>"wk"&amp;MTBF_field[[#This Row],[Week]]</f>
        <v>wk2526</v>
      </c>
      <c r="C35" s="93">
        <f>SUMIFS(Runhours_Table[Productive Hours],Runhours_Table[Year-Week Number],MTBF_field[[#This Row],[Week]])</f>
        <v>0</v>
      </c>
      <c r="D35" s="93">
        <f>SUMIFS(Runhours_Table[Up Time],Runhours_Table[Year-Week Number],MTBF_field[[#This Row],[Week]])</f>
        <v>0</v>
      </c>
      <c r="E35" s="89">
        <f>'Daily Run Hours'!P58</f>
        <v>0</v>
      </c>
      <c r="F35" s="89">
        <f>'Daily Run Hours'!Q58</f>
        <v>0</v>
      </c>
      <c r="G35" s="95">
        <f>IF(MTBF_field[[#This Row],[P hits]]=0,MTBF_field[[#This Row],[Productive time '[hrs']]],MTBF_field[[#This Row],[Productive time '[hrs']]]/MTBF_field[[#This Row],[P hits]])</f>
        <v>0</v>
      </c>
      <c r="H35" s="95">
        <f t="shared" si="10"/>
        <v>0</v>
      </c>
      <c r="I35" s="95">
        <f t="shared" si="11"/>
        <v>43.55491924999999</v>
      </c>
      <c r="J35" s="95">
        <f>IF(MTBF_field[[#This Row],[U hits]]=0,MTBF_field[[#This Row],[Uptime '[hrs']]],MTBF_field[[#This Row],[Uptime '[hrs']]]/MTBF_field[[#This Row],[U hits]])</f>
        <v>0</v>
      </c>
      <c r="K35" s="93">
        <f t="shared" si="12"/>
        <v>0</v>
      </c>
      <c r="L35" s="95">
        <f t="shared" si="13"/>
        <v>54.93129978571428</v>
      </c>
    </row>
    <row r="36" spans="1:12">
      <c r="A36" s="93">
        <v>2526</v>
      </c>
      <c r="B36" s="86" t="str">
        <f>"wk"&amp;MTBF_field[[#This Row],[Week]]</f>
        <v>wk2526</v>
      </c>
      <c r="C36" s="93">
        <f>SUMIFS(Runhours_Table[Productive Hours],Runhours_Table[Year-Week Number],MTBF_field[[#This Row],[Week]])</f>
        <v>0</v>
      </c>
      <c r="D36" s="93">
        <f>SUMIFS(Runhours_Table[Up Time],Runhours_Table[Year-Week Number],MTBF_field[[#This Row],[Week]])</f>
        <v>0</v>
      </c>
      <c r="E36" s="89">
        <f>'Daily Run Hours'!P59</f>
        <v>0</v>
      </c>
      <c r="F36" s="89">
        <f>'Daily Run Hours'!Q59</f>
        <v>0</v>
      </c>
      <c r="G36" s="95">
        <f>IF(MTBF_field[[#This Row],[P hits]]=0,MTBF_field[[#This Row],[Productive time '[hrs']]],MTBF_field[[#This Row],[Productive time '[hrs']]]/MTBF_field[[#This Row],[P hits]])</f>
        <v>0</v>
      </c>
      <c r="H36" s="95">
        <f t="shared" si="10"/>
        <v>0</v>
      </c>
      <c r="I36" s="95">
        <f t="shared" si="11"/>
        <v>39.581280434782613</v>
      </c>
      <c r="J36" s="95">
        <f>IF(MTBF_field[[#This Row],[U hits]]=0,MTBF_field[[#This Row],[Uptime '[hrs']]],MTBF_field[[#This Row],[Uptime '[hrs']]]/MTBF_field[[#This Row],[U hits]])</f>
        <v>0</v>
      </c>
      <c r="K36" s="93">
        <f t="shared" si="12"/>
        <v>0</v>
      </c>
      <c r="L36" s="95">
        <f t="shared" si="13"/>
        <v>50.088835653846147</v>
      </c>
    </row>
  </sheetData>
  <dataValidations count="1">
    <dataValidation type="list" allowBlank="1" showInputMessage="1" showErrorMessage="1" sqref="B2" xr:uid="{03061411-AB76-4687-9EFD-7EF5CB1DCF62}">
      <formula1>INDIRECT("MTBF_Field[Week]")</formula1>
    </dataValidation>
  </dataValidations>
  <pageMargins left="0.7" right="0.7" top="0.75" bottom="0.75" header="0.3" footer="0.3"/>
  <drawing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B76DC-9DC4-4402-8B23-CB1F0A324E8D}">
  <sheetPr>
    <tabColor rgb="FF92D050"/>
  </sheetPr>
  <dimension ref="A1:L30"/>
  <sheetViews>
    <sheetView topLeftCell="A29" workbookViewId="0">
      <selection activeCell="A19" sqref="A19"/>
    </sheetView>
  </sheetViews>
  <sheetFormatPr defaultRowHeight="15"/>
  <cols>
    <col min="1" max="1" width="16.42578125" bestFit="1" customWidth="1"/>
    <col min="3" max="3" width="23.140625" customWidth="1"/>
    <col min="4" max="4" width="21.85546875" customWidth="1"/>
    <col min="5" max="5" width="14.140625" customWidth="1"/>
    <col min="8" max="12" width="14.85546875" customWidth="1"/>
  </cols>
  <sheetData>
    <row r="1" spans="1:12">
      <c r="A1" s="37" t="s">
        <v>1144</v>
      </c>
      <c r="C1" s="92" t="str">
        <f>MTBF_Intel15[[#Headers],[Productive time '[hrs']]]</f>
        <v>Productive time [hrs]</v>
      </c>
      <c r="D1" s="92" t="str">
        <f>MTBF_Intel15[[#Headers],[Uptime '[hrs']]]</f>
        <v>Uptime [hrs]</v>
      </c>
      <c r="E1" s="92" t="str">
        <f>MTBF_Intel15[[#Headers],[P hits]]</f>
        <v>P hits</v>
      </c>
      <c r="F1" s="92" t="str">
        <f>MTBF_Intel15[[#Headers],[U hits]]</f>
        <v>U hits</v>
      </c>
      <c r="G1" s="92"/>
      <c r="H1" s="92" t="str">
        <f>MTBF_Intel15[[#Headers],[MTBFp 4wma]]</f>
        <v>MTBFp 4wma</v>
      </c>
      <c r="I1" s="92" t="str">
        <f>MTBF_Intel15[[#Headers],[MTBFp 13wma]]</f>
        <v>MTBFp 13wma</v>
      </c>
      <c r="J1" s="92"/>
      <c r="K1" s="92" t="str">
        <f>MTBF_Intel15[[#Headers],[MTBFu 4wma]]</f>
        <v>MTBFu 4wma</v>
      </c>
      <c r="L1" s="92" t="str">
        <f>MTBF_Intel15[[#Headers],[MTBFu 13wma]]</f>
        <v>MTBFu 13wma</v>
      </c>
    </row>
    <row r="2" spans="1:12">
      <c r="A2" s="87" t="s">
        <v>1134</v>
      </c>
      <c r="B2" s="90">
        <f>MAX(MTBF_Intel15[Week])</f>
        <v>2502</v>
      </c>
      <c r="C2" s="94">
        <f>SUMIFS(MTBF_Intel15[Productive time '[hrs']],MTBF_Intel15[Week],"&lt;="&amp;B2,MTBF_Intel15[Week],"&gt;="&amp;(B2-3))</f>
        <v>0</v>
      </c>
      <c r="D2" s="94">
        <f>SUMIFS(MTBF_Intel15[Uptime '[hrs']],MTBF_Intel15[Week],"&lt;="&amp;B2,MTBF_Intel15[Week],"&gt;="&amp;(B2-3))</f>
        <v>0</v>
      </c>
      <c r="E2" s="88">
        <f>SUMIFS(MTBF_Intel15[P hits],MTBF_Intel15[Week],"&lt;="&amp;B2,MTBF_Intel15[Week],"&gt;="&amp;(B2-3))</f>
        <v>0</v>
      </c>
      <c r="F2" s="88">
        <f>SUMIFS(MTBF_Intel15[U hits],MTBF_Intel15[Week],"&lt;="&amp;B2,MTBF_Intel15[Week],"&gt;="&amp;(B2-3))</f>
        <v>0</v>
      </c>
      <c r="G2" s="88"/>
      <c r="H2" s="91">
        <f>_xlfn.XLOOKUP(B2,MTBF_Intel15[Week],MTBF_Intel15[MTBFp 4wma],"not found",0)</f>
        <v>0</v>
      </c>
      <c r="I2" s="91">
        <f>_xlfn.XLOOKUP(B2,MTBF_Intel15[Week],MTBF_Intel15[MTBFp 13wma],"not found",0)</f>
        <v>0</v>
      </c>
      <c r="J2" s="88"/>
      <c r="K2" s="91">
        <f>_xlfn.XLOOKUP(B2,MTBF_Intel15[Week],MTBF_Intel15[MTBFu 4wma],"not found",0)</f>
        <v>0</v>
      </c>
      <c r="L2" s="91">
        <f>_xlfn.XLOOKUP(B2,MTBF_Intel15[Week],MTBF_Intel15[MTBFu 13wma],"not found",0)</f>
        <v>0</v>
      </c>
    </row>
    <row r="3" spans="1:12">
      <c r="A3" s="147"/>
      <c r="C3" s="148"/>
      <c r="D3" s="148"/>
      <c r="E3" s="92"/>
      <c r="F3" s="92"/>
      <c r="G3" s="92"/>
      <c r="H3" s="149"/>
      <c r="I3" s="149"/>
      <c r="J3" s="92"/>
      <c r="K3" s="149"/>
    </row>
    <row r="5" spans="1:12">
      <c r="A5" s="37" t="s">
        <v>83</v>
      </c>
      <c r="B5" s="37" t="s">
        <v>1135</v>
      </c>
      <c r="C5" s="37" t="s">
        <v>1136</v>
      </c>
      <c r="D5" s="37" t="s">
        <v>1137</v>
      </c>
      <c r="E5" s="37" t="s">
        <v>75</v>
      </c>
      <c r="F5" s="37" t="s">
        <v>76</v>
      </c>
      <c r="G5" s="37" t="s">
        <v>1138</v>
      </c>
      <c r="H5" s="37" t="s">
        <v>1139</v>
      </c>
      <c r="I5" s="37" t="s">
        <v>1140</v>
      </c>
      <c r="J5" s="37" t="s">
        <v>1141</v>
      </c>
      <c r="K5" s="37" t="s">
        <v>1142</v>
      </c>
      <c r="L5" s="37" t="s">
        <v>1143</v>
      </c>
    </row>
    <row r="6" spans="1:12">
      <c r="A6" s="89">
        <v>2430</v>
      </c>
      <c r="B6" s="89" t="str">
        <f t="shared" ref="B6:B29" si="0">"wk"&amp;A6</f>
        <v>wk2430</v>
      </c>
      <c r="C6" s="93">
        <f>SUMIFS(Runhours_Table[Productive Hours],Runhours_Table[Year-Week Number],MTBF_Intel15[[#This Row],[Week]],Runhours_Table[System],$A$1)</f>
        <v>0</v>
      </c>
      <c r="D6" s="93">
        <f>SUMIFS(Runhours_Table[Up Time],Runhours_Table[Year-Week Number],MTBF_Intel15[[#This Row],[Week]],Runhours_Table[System],$A$1)</f>
        <v>0</v>
      </c>
      <c r="E6" s="89">
        <f>COUNTIFS(Errorlog_table[System],$A$1,Errorlog_table[Year_Week_Number],MTBF_Intel15[[#This Row],[Week]],Errorlog_table[P_Hits],"Y",Errorlog_table[Reconciled],"Y")</f>
        <v>0</v>
      </c>
      <c r="F6" s="89">
        <f>COUNTIFS(Errorlog_table[System],$A$1,Errorlog_table[Year_Week_Number],MTBF_Intel15[[#This Row],[Week]],Errorlog_table[U_Hits],"Y",Errorlog_table[Reconciled],"Y")</f>
        <v>0</v>
      </c>
      <c r="G6" s="95">
        <f>IF(MTBF_Intel15[[#This Row],[P hits]]=0,MTBF_Intel15[[#This Row],[Productive time '[hrs']]],MTBF_Intel15[[#This Row],[Productive time '[hrs']]]/MTBF_Intel15[[#This Row],[P hits]])</f>
        <v>0</v>
      </c>
      <c r="H6" s="95">
        <f t="shared" ref="H6:H25" si="1">IF(SUM(E3:E6)=0,SUM(C3:C6),SUM(C3:C6)/SUM(E3:E6))</f>
        <v>0</v>
      </c>
      <c r="I6" s="89"/>
      <c r="J6" s="95">
        <f>IF(MTBF_Intel15[[#This Row],[U hits]]=0,MTBF_Intel15[[#This Row],[Uptime '[hrs']]],MTBF_Intel15[[#This Row],[Uptime '[hrs']]]/MTBF_Intel15[[#This Row],[U hits]])</f>
        <v>0</v>
      </c>
      <c r="K6" s="95">
        <f t="shared" ref="K6:K25" si="2">IF(SUM(F3:F6)=0,SUM(D3:D6),SUM(D3:D6)/SUM(F3:F6))</f>
        <v>0</v>
      </c>
      <c r="L6" s="95"/>
    </row>
    <row r="7" spans="1:12">
      <c r="A7" s="89">
        <v>2431</v>
      </c>
      <c r="B7" s="89" t="str">
        <f t="shared" si="0"/>
        <v>wk2431</v>
      </c>
      <c r="C7" s="93">
        <f>SUMIFS(Runhours_Table[Productive Hours],Runhours_Table[Year-Week Number],MTBF_Intel15[[#This Row],[Week]],Runhours_Table[System],$A$1)</f>
        <v>0</v>
      </c>
      <c r="D7" s="93">
        <f>SUMIFS(Runhours_Table[Up Time],Runhours_Table[Year-Week Number],MTBF_Intel15[[#This Row],[Week]],Runhours_Table[System],$A$1)</f>
        <v>0</v>
      </c>
      <c r="E7" s="89">
        <f>COUNTIFS(Errorlog_table[System],$A$1,Errorlog_table[Year_Week_Number],MTBF_Intel15[[#This Row],[Week]],Errorlog_table[P_Hits],"Y",Errorlog_table[Reconciled],"Y")</f>
        <v>0</v>
      </c>
      <c r="F7" s="89">
        <f>COUNTIFS(Errorlog_table[System],$A$1,Errorlog_table[Year_Week_Number],MTBF_Intel15[[#This Row],[Week]],Errorlog_table[U_Hits],"Y",Errorlog_table[Reconciled],"Y")</f>
        <v>0</v>
      </c>
      <c r="G7" s="95">
        <f>IF(MTBF_Intel15[[#This Row],[P hits]]=0,MTBF_Intel15[[#This Row],[Productive time '[hrs']]],MTBF_Intel15[[#This Row],[Productive time '[hrs']]]/MTBF_Intel15[[#This Row],[P hits]])</f>
        <v>0</v>
      </c>
      <c r="H7" s="95">
        <f t="shared" si="1"/>
        <v>0</v>
      </c>
      <c r="I7" s="89"/>
      <c r="J7" s="95">
        <f>IF(MTBF_Intel15[[#This Row],[U hits]]=0,MTBF_Intel15[[#This Row],[Uptime '[hrs']]],MTBF_Intel15[[#This Row],[Uptime '[hrs']]]/MTBF_Intel15[[#This Row],[U hits]])</f>
        <v>0</v>
      </c>
      <c r="K7" s="95">
        <f t="shared" si="2"/>
        <v>0</v>
      </c>
      <c r="L7" s="95"/>
    </row>
    <row r="8" spans="1:12">
      <c r="A8" s="89">
        <v>2432</v>
      </c>
      <c r="B8" s="89" t="str">
        <f t="shared" si="0"/>
        <v>wk2432</v>
      </c>
      <c r="C8" s="93">
        <f>SUMIFS(Runhours_Table[Productive Hours],Runhours_Table[Year-Week Number],MTBF_Intel15[[#This Row],[Week]],Runhours_Table[System],$A$1)</f>
        <v>0</v>
      </c>
      <c r="D8" s="93">
        <f>SUMIFS(Runhours_Table[Up Time],Runhours_Table[Year-Week Number],MTBF_Intel15[[#This Row],[Week]],Runhours_Table[System],$A$1)</f>
        <v>0</v>
      </c>
      <c r="E8" s="89">
        <f>COUNTIFS(Errorlog_table[System],$A$1,Errorlog_table[Year_Week_Number],MTBF_Intel15[[#This Row],[Week]],Errorlog_table[P_Hits],"Y",Errorlog_table[Reconciled],"Y")</f>
        <v>0</v>
      </c>
      <c r="F8" s="89">
        <f>COUNTIFS(Errorlog_table[System],$A$1,Errorlog_table[Year_Week_Number],MTBF_Intel15[[#This Row],[Week]],Errorlog_table[U_Hits],"Y",Errorlog_table[Reconciled],"Y")</f>
        <v>0</v>
      </c>
      <c r="G8" s="95">
        <f>IF(MTBF_Intel15[[#This Row],[P hits]]=0,MTBF_Intel15[[#This Row],[Productive time '[hrs']]],MTBF_Intel15[[#This Row],[Productive time '[hrs']]]/MTBF_Intel15[[#This Row],[P hits]])</f>
        <v>0</v>
      </c>
      <c r="H8" s="95">
        <f t="shared" si="1"/>
        <v>0</v>
      </c>
      <c r="I8" s="95"/>
      <c r="J8" s="95">
        <f>IF(MTBF_Intel15[[#This Row],[U hits]]=0,MTBF_Intel15[[#This Row],[Uptime '[hrs']]],MTBF_Intel15[[#This Row],[Uptime '[hrs']]]/MTBF_Intel15[[#This Row],[U hits]])</f>
        <v>0</v>
      </c>
      <c r="K8" s="95">
        <f t="shared" si="2"/>
        <v>0</v>
      </c>
      <c r="L8" s="95"/>
    </row>
    <row r="9" spans="1:12">
      <c r="A9" s="89">
        <v>2433</v>
      </c>
      <c r="B9" s="89" t="str">
        <f t="shared" si="0"/>
        <v>wk2433</v>
      </c>
      <c r="C9" s="93">
        <f>SUMIFS(Runhours_Table[Productive Hours],Runhours_Table[Year-Week Number],MTBF_Intel15[[#This Row],[Week]],Runhours_Table[System],$A$1)</f>
        <v>0</v>
      </c>
      <c r="D9" s="93">
        <f>SUMIFS(Runhours_Table[Up Time],Runhours_Table[Year-Week Number],MTBF_Intel15[[#This Row],[Week]],Runhours_Table[System],$A$1)</f>
        <v>0</v>
      </c>
      <c r="E9" s="89">
        <f>COUNTIFS(Errorlog_table[System],$A$1,Errorlog_table[Year_Week_Number],MTBF_Intel15[[#This Row],[Week]],Errorlog_table[P_Hits],"Y",Errorlog_table[Reconciled],"Y")</f>
        <v>0</v>
      </c>
      <c r="F9" s="89">
        <f>COUNTIFS(Errorlog_table[System],$A$1,Errorlog_table[Year_Week_Number],MTBF_Intel15[[#This Row],[Week]],Errorlog_table[U_Hits],"Y",Errorlog_table[Reconciled],"Y")</f>
        <v>0</v>
      </c>
      <c r="G9" s="95">
        <f>IF(MTBF_Intel15[[#This Row],[P hits]]=0,MTBF_Intel15[[#This Row],[Productive time '[hrs']]],MTBF_Intel15[[#This Row],[Productive time '[hrs']]]/MTBF_Intel15[[#This Row],[P hits]])</f>
        <v>0</v>
      </c>
      <c r="H9" s="95">
        <f t="shared" si="1"/>
        <v>0</v>
      </c>
      <c r="I9" s="95"/>
      <c r="J9" s="95">
        <f>IF(MTBF_Intel15[[#This Row],[U hits]]=0,MTBF_Intel15[[#This Row],[Uptime '[hrs']]],MTBF_Intel15[[#This Row],[Uptime '[hrs']]]/MTBF_Intel15[[#This Row],[U hits]])</f>
        <v>0</v>
      </c>
      <c r="K9" s="95">
        <f t="shared" si="2"/>
        <v>0</v>
      </c>
      <c r="L9" s="95"/>
    </row>
    <row r="10" spans="1:12">
      <c r="A10" s="89">
        <v>2434</v>
      </c>
      <c r="B10" s="89" t="str">
        <f t="shared" si="0"/>
        <v>wk2434</v>
      </c>
      <c r="C10" s="93">
        <f>SUMIFS(Runhours_Table[Productive Hours],Runhours_Table[Year-Week Number],MTBF_Intel15[[#This Row],[Week]],Runhours_Table[System],$A$1)</f>
        <v>0</v>
      </c>
      <c r="D10" s="93">
        <f>SUMIFS(Runhours_Table[Up Time],Runhours_Table[Year-Week Number],MTBF_Intel15[[#This Row],[Week]],Runhours_Table[System],$A$1)</f>
        <v>0</v>
      </c>
      <c r="E10" s="89">
        <f>COUNTIFS(Errorlog_table[System],$A$1,Errorlog_table[Year_Week_Number],MTBF_Intel15[[#This Row],[Week]],Errorlog_table[P_Hits],"Y",Errorlog_table[Reconciled],"Y")</f>
        <v>0</v>
      </c>
      <c r="F10" s="89">
        <f>COUNTIFS(Errorlog_table[System],$A$1,Errorlog_table[Year_Week_Number],MTBF_Intel15[[#This Row],[Week]],Errorlog_table[U_Hits],"Y",Errorlog_table[Reconciled],"Y")</f>
        <v>0</v>
      </c>
      <c r="G10" s="95">
        <f>IF(MTBF_Intel15[[#This Row],[P hits]]=0,MTBF_Intel15[[#This Row],[Productive time '[hrs']]],MTBF_Intel15[[#This Row],[Productive time '[hrs']]]/MTBF_Intel15[[#This Row],[P hits]])</f>
        <v>0</v>
      </c>
      <c r="H10" s="95">
        <f t="shared" si="1"/>
        <v>0</v>
      </c>
      <c r="I10" s="95"/>
      <c r="J10" s="95">
        <f>IF(MTBF_Intel15[[#This Row],[U hits]]=0,MTBF_Intel15[[#This Row],[Uptime '[hrs']]],MTBF_Intel15[[#This Row],[Uptime '[hrs']]]/MTBF_Intel15[[#This Row],[U hits]])</f>
        <v>0</v>
      </c>
      <c r="K10" s="95">
        <f t="shared" si="2"/>
        <v>0</v>
      </c>
      <c r="L10" s="95"/>
    </row>
    <row r="11" spans="1:12">
      <c r="A11" s="89">
        <v>2435</v>
      </c>
      <c r="B11" s="89" t="str">
        <f t="shared" si="0"/>
        <v>wk2435</v>
      </c>
      <c r="C11" s="93">
        <f>SUMIFS(Runhours_Table[Productive Hours],Runhours_Table[Year-Week Number],MTBF_Intel15[[#This Row],[Week]],Runhours_Table[System],$A$1)</f>
        <v>0</v>
      </c>
      <c r="D11" s="93">
        <f>SUMIFS(Runhours_Table[Up Time],Runhours_Table[Year-Week Number],MTBF_Intel15[[#This Row],[Week]],Runhours_Table[System],$A$1)</f>
        <v>0</v>
      </c>
      <c r="E11" s="89">
        <f>COUNTIFS(Errorlog_table[System],$A$1,Errorlog_table[Year_Week_Number],MTBF_Intel15[[#This Row],[Week]],Errorlog_table[P_Hits],"Y",Errorlog_table[Reconciled],"Y")</f>
        <v>0</v>
      </c>
      <c r="F11" s="89">
        <f>COUNTIFS(Errorlog_table[System],$A$1,Errorlog_table[Year_Week_Number],MTBF_Intel15[[#This Row],[Week]],Errorlog_table[U_Hits],"Y",Errorlog_table[Reconciled],"Y")</f>
        <v>0</v>
      </c>
      <c r="G11" s="95">
        <f>IF(MTBF_Intel15[[#This Row],[P hits]]=0,MTBF_Intel15[[#This Row],[Productive time '[hrs']]],MTBF_Intel15[[#This Row],[Productive time '[hrs']]]/MTBF_Intel15[[#This Row],[P hits]])</f>
        <v>0</v>
      </c>
      <c r="H11" s="95">
        <f t="shared" si="1"/>
        <v>0</v>
      </c>
      <c r="I11" s="95"/>
      <c r="J11" s="95">
        <f>IF(MTBF_Intel15[[#This Row],[U hits]]=0,MTBF_Intel15[[#This Row],[Uptime '[hrs']]],MTBF_Intel15[[#This Row],[Uptime '[hrs']]]/MTBF_Intel15[[#This Row],[U hits]])</f>
        <v>0</v>
      </c>
      <c r="K11" s="95">
        <f t="shared" si="2"/>
        <v>0</v>
      </c>
      <c r="L11" s="95"/>
    </row>
    <row r="12" spans="1:12">
      <c r="A12" s="89">
        <v>2436</v>
      </c>
      <c r="B12" s="89" t="str">
        <f t="shared" si="0"/>
        <v>wk2436</v>
      </c>
      <c r="C12" s="93">
        <f>SUMIFS(Runhours_Table[Productive Hours],Runhours_Table[Year-Week Number],MTBF_Intel15[[#This Row],[Week]],Runhours_Table[System],$A$1)</f>
        <v>0</v>
      </c>
      <c r="D12" s="93">
        <f>SUMIFS(Runhours_Table[Up Time],Runhours_Table[Year-Week Number],MTBF_Intel15[[#This Row],[Week]],Runhours_Table[System],$A$1)</f>
        <v>0</v>
      </c>
      <c r="E12" s="89">
        <f>COUNTIFS(Errorlog_table[System],$A$1,Errorlog_table[Year_Week_Number],MTBF_Intel15[[#This Row],[Week]],Errorlog_table[P_Hits],"Y",Errorlog_table[Reconciled],"Y")</f>
        <v>0</v>
      </c>
      <c r="F12" s="89">
        <f>COUNTIFS(Errorlog_table[System],$A$1,Errorlog_table[Year_Week_Number],MTBF_Intel15[[#This Row],[Week]],Errorlog_table[U_Hits],"Y",Errorlog_table[Reconciled],"Y")</f>
        <v>0</v>
      </c>
      <c r="G12" s="95">
        <f>IF(MTBF_Intel15[[#This Row],[P hits]]=0,MTBF_Intel15[[#This Row],[Productive time '[hrs']]],MTBF_Intel15[[#This Row],[Productive time '[hrs']]]/MTBF_Intel15[[#This Row],[P hits]])</f>
        <v>0</v>
      </c>
      <c r="H12" s="95">
        <f t="shared" si="1"/>
        <v>0</v>
      </c>
      <c r="I12" s="95"/>
      <c r="J12" s="95">
        <f>IF(MTBF_Intel15[[#This Row],[U hits]]=0,MTBF_Intel15[[#This Row],[Uptime '[hrs']]],MTBF_Intel15[[#This Row],[Uptime '[hrs']]]/MTBF_Intel15[[#This Row],[U hits]])</f>
        <v>0</v>
      </c>
      <c r="K12" s="95">
        <f t="shared" si="2"/>
        <v>0</v>
      </c>
      <c r="L12" s="95"/>
    </row>
    <row r="13" spans="1:12">
      <c r="A13" s="89">
        <v>2437</v>
      </c>
      <c r="B13" s="89" t="str">
        <f t="shared" si="0"/>
        <v>wk2437</v>
      </c>
      <c r="C13" s="93">
        <f>SUMIFS(Runhours_Table[Productive Hours],Runhours_Table[Year-Week Number],MTBF_Intel15[[#This Row],[Week]],Runhours_Table[System],$A$1)</f>
        <v>0</v>
      </c>
      <c r="D13" s="93">
        <f>SUMIFS(Runhours_Table[Up Time],Runhours_Table[Year-Week Number],MTBF_Intel15[[#This Row],[Week]],Runhours_Table[System],$A$1)</f>
        <v>0</v>
      </c>
      <c r="E13" s="89">
        <f>COUNTIFS(Errorlog_table[System],$A$1,Errorlog_table[Year_Week_Number],MTBF_Intel15[[#This Row],[Week]],Errorlog_table[P_Hits],"Y",Errorlog_table[Reconciled],"Y")</f>
        <v>0</v>
      </c>
      <c r="F13" s="89">
        <f>COUNTIFS(Errorlog_table[System],$A$1,Errorlog_table[Year_Week_Number],MTBF_Intel15[[#This Row],[Week]],Errorlog_table[U_Hits],"Y",Errorlog_table[Reconciled],"Y")</f>
        <v>0</v>
      </c>
      <c r="G13" s="95">
        <f>IF(MTBF_Intel15[[#This Row],[P hits]]=0,MTBF_Intel15[[#This Row],[Productive time '[hrs']]],MTBF_Intel15[[#This Row],[Productive time '[hrs']]]/MTBF_Intel15[[#This Row],[P hits]])</f>
        <v>0</v>
      </c>
      <c r="H13" s="95">
        <f t="shared" si="1"/>
        <v>0</v>
      </c>
      <c r="I13" s="95"/>
      <c r="J13" s="95">
        <f>IF(MTBF_Intel15[[#This Row],[U hits]]=0,MTBF_Intel15[[#This Row],[Uptime '[hrs']]],MTBF_Intel15[[#This Row],[Uptime '[hrs']]]/MTBF_Intel15[[#This Row],[U hits]])</f>
        <v>0</v>
      </c>
      <c r="K13" s="95">
        <f t="shared" si="2"/>
        <v>0</v>
      </c>
      <c r="L13" s="95"/>
    </row>
    <row r="14" spans="1:12">
      <c r="A14" s="89">
        <v>2438</v>
      </c>
      <c r="B14" s="89" t="str">
        <f t="shared" si="0"/>
        <v>wk2438</v>
      </c>
      <c r="C14" s="93">
        <f>SUMIFS(Runhours_Table[Productive Hours],Runhours_Table[Year-Week Number],MTBF_Intel15[[#This Row],[Week]],Runhours_Table[System],$A$1)</f>
        <v>0</v>
      </c>
      <c r="D14" s="93">
        <f>SUMIFS(Runhours_Table[Up Time],Runhours_Table[Year-Week Number],MTBF_Intel15[[#This Row],[Week]],Runhours_Table[System],$A$1)</f>
        <v>0</v>
      </c>
      <c r="E14" s="89">
        <f>COUNTIFS(Errorlog_table[System],$A$1,Errorlog_table[Year_Week_Number],MTBF_Intel15[[#This Row],[Week]],Errorlog_table[P_Hits],"Y",Errorlog_table[Reconciled],"Y")</f>
        <v>0</v>
      </c>
      <c r="F14" s="89">
        <f>COUNTIFS(Errorlog_table[System],$A$1,Errorlog_table[Year_Week_Number],MTBF_Intel15[[#This Row],[Week]],Errorlog_table[U_Hits],"Y",Errorlog_table[Reconciled],"Y")</f>
        <v>0</v>
      </c>
      <c r="G14" s="95">
        <f>IF(MTBF_Intel15[[#This Row],[P hits]]=0,MTBF_Intel15[[#This Row],[Productive time '[hrs']]],MTBF_Intel15[[#This Row],[Productive time '[hrs']]]/MTBF_Intel15[[#This Row],[P hits]])</f>
        <v>0</v>
      </c>
      <c r="H14" s="95">
        <f t="shared" si="1"/>
        <v>0</v>
      </c>
      <c r="I14" s="95"/>
      <c r="J14" s="95">
        <f>IF(MTBF_Intel15[[#This Row],[U hits]]=0,MTBF_Intel15[[#This Row],[Uptime '[hrs']]],MTBF_Intel15[[#This Row],[Uptime '[hrs']]]/MTBF_Intel15[[#This Row],[U hits]])</f>
        <v>0</v>
      </c>
      <c r="K14" s="95">
        <f t="shared" si="2"/>
        <v>0</v>
      </c>
      <c r="L14" s="95"/>
    </row>
    <row r="15" spans="1:12">
      <c r="A15" s="89">
        <v>2439</v>
      </c>
      <c r="B15" s="89" t="str">
        <f t="shared" si="0"/>
        <v>wk2439</v>
      </c>
      <c r="C15" s="93">
        <f>SUMIFS(Runhours_Table[Productive Hours],Runhours_Table[Year-Week Number],MTBF_Intel15[[#This Row],[Week]],Runhours_Table[System],$A$1)</f>
        <v>0</v>
      </c>
      <c r="D15" s="93">
        <f>SUMIFS(Runhours_Table[Up Time],Runhours_Table[Year-Week Number],MTBF_Intel15[[#This Row],[Week]],Runhours_Table[System],$A$1)</f>
        <v>0</v>
      </c>
      <c r="E15" s="89">
        <f>COUNTIFS(Errorlog_table[System],$A$1,Errorlog_table[Year_Week_Number],MTBF_Intel15[[#This Row],[Week]],Errorlog_table[P_Hits],"Y",Errorlog_table[Reconciled],"Y")</f>
        <v>0</v>
      </c>
      <c r="F15" s="89">
        <f>COUNTIFS(Errorlog_table[System],$A$1,Errorlog_table[Year_Week_Number],MTBF_Intel15[[#This Row],[Week]],Errorlog_table[U_Hits],"Y",Errorlog_table[Reconciled],"Y")</f>
        <v>0</v>
      </c>
      <c r="G15" s="95">
        <f>IF(MTBF_Intel15[[#This Row],[P hits]]=0,MTBF_Intel15[[#This Row],[Productive time '[hrs']]],MTBF_Intel15[[#This Row],[Productive time '[hrs']]]/MTBF_Intel15[[#This Row],[P hits]])</f>
        <v>0</v>
      </c>
      <c r="H15" s="95">
        <f t="shared" si="1"/>
        <v>0</v>
      </c>
      <c r="I15" s="95"/>
      <c r="J15" s="95">
        <f>IF(MTBF_Intel15[[#This Row],[U hits]]=0,MTBF_Intel15[[#This Row],[Uptime '[hrs']]],MTBF_Intel15[[#This Row],[Uptime '[hrs']]]/MTBF_Intel15[[#This Row],[U hits]])</f>
        <v>0</v>
      </c>
      <c r="K15" s="95">
        <f t="shared" si="2"/>
        <v>0</v>
      </c>
      <c r="L15" s="95"/>
    </row>
    <row r="16" spans="1:12">
      <c r="A16" s="89">
        <v>2440</v>
      </c>
      <c r="B16" s="89" t="str">
        <f t="shared" si="0"/>
        <v>wk2440</v>
      </c>
      <c r="C16" s="93">
        <f>SUMIFS(Runhours_Table[Productive Hours],Runhours_Table[Year-Week Number],MTBF_Intel15[[#This Row],[Week]],Runhours_Table[System],$A$1)</f>
        <v>0</v>
      </c>
      <c r="D16" s="93">
        <f>SUMIFS(Runhours_Table[Up Time],Runhours_Table[Year-Week Number],MTBF_Intel15[[#This Row],[Week]],Runhours_Table[System],$A$1)</f>
        <v>0</v>
      </c>
      <c r="E16" s="89">
        <f>COUNTIFS(Errorlog_table[System],$A$1,Errorlog_table[Year_Week_Number],MTBF_Intel15[[#This Row],[Week]],Errorlog_table[P_Hits],"Y",Errorlog_table[Reconciled],"Y")</f>
        <v>0</v>
      </c>
      <c r="F16" s="89">
        <f>COUNTIFS(Errorlog_table[System],$A$1,Errorlog_table[Year_Week_Number],MTBF_Intel15[[#This Row],[Week]],Errorlog_table[U_Hits],"Y",Errorlog_table[Reconciled],"Y")</f>
        <v>0</v>
      </c>
      <c r="G16" s="95">
        <f>IF(MTBF_Intel15[[#This Row],[P hits]]=0,MTBF_Intel15[[#This Row],[Productive time '[hrs']]],MTBF_Intel15[[#This Row],[Productive time '[hrs']]]/MTBF_Intel15[[#This Row],[P hits]])</f>
        <v>0</v>
      </c>
      <c r="H16" s="95">
        <f t="shared" si="1"/>
        <v>0</v>
      </c>
      <c r="I16" s="95"/>
      <c r="J16" s="95">
        <f>IF(MTBF_Intel15[[#This Row],[U hits]]=0,MTBF_Intel15[[#This Row],[Uptime '[hrs']]],MTBF_Intel15[[#This Row],[Uptime '[hrs']]]/MTBF_Intel15[[#This Row],[U hits]])</f>
        <v>0</v>
      </c>
      <c r="K16" s="95">
        <f t="shared" si="2"/>
        <v>0</v>
      </c>
      <c r="L16" s="95"/>
    </row>
    <row r="17" spans="1:12">
      <c r="A17" s="89">
        <v>2441</v>
      </c>
      <c r="B17" s="89" t="str">
        <f t="shared" si="0"/>
        <v>wk2441</v>
      </c>
      <c r="C17" s="93">
        <f>SUMIFS(Runhours_Table[Productive Hours],Runhours_Table[Year-Week Number],MTBF_Intel15[[#This Row],[Week]],Runhours_Table[System],$A$1)</f>
        <v>0</v>
      </c>
      <c r="D17" s="93">
        <f>SUMIFS(Runhours_Table[Up Time],Runhours_Table[Year-Week Number],MTBF_Intel15[[#This Row],[Week]],Runhours_Table[System],$A$1)</f>
        <v>0</v>
      </c>
      <c r="E17" s="89">
        <f>COUNTIFS(Errorlog_table[System],$A$1,Errorlog_table[Year_Week_Number],MTBF_Intel15[[#This Row],[Week]],Errorlog_table[P_Hits],"Y",Errorlog_table[Reconciled],"Y")</f>
        <v>0</v>
      </c>
      <c r="F17" s="89">
        <f>COUNTIFS(Errorlog_table[System],$A$1,Errorlog_table[Year_Week_Number],MTBF_Intel15[[#This Row],[Week]],Errorlog_table[U_Hits],"Y",Errorlog_table[Reconciled],"Y")</f>
        <v>0</v>
      </c>
      <c r="G17" s="95">
        <f>IF(MTBF_Intel15[[#This Row],[P hits]]=0,MTBF_Intel15[[#This Row],[Productive time '[hrs']]],MTBF_Intel15[[#This Row],[Productive time '[hrs']]]/MTBF_Intel15[[#This Row],[P hits]])</f>
        <v>0</v>
      </c>
      <c r="H17" s="95">
        <f t="shared" si="1"/>
        <v>0</v>
      </c>
      <c r="I17" s="95"/>
      <c r="J17" s="95">
        <f>IF(MTBF_Intel15[[#This Row],[U hits]]=0,MTBF_Intel15[[#This Row],[Uptime '[hrs']]],MTBF_Intel15[[#This Row],[Uptime '[hrs']]]/MTBF_Intel15[[#This Row],[U hits]])</f>
        <v>0</v>
      </c>
      <c r="K17" s="95">
        <f t="shared" si="2"/>
        <v>0</v>
      </c>
      <c r="L17" s="95"/>
    </row>
    <row r="18" spans="1:12">
      <c r="A18" s="89">
        <v>2442</v>
      </c>
      <c r="B18" s="89" t="str">
        <f t="shared" si="0"/>
        <v>wk2442</v>
      </c>
      <c r="C18" s="93">
        <f>SUMIFS(Runhours_Table[Productive Hours],Runhours_Table[Year-Week Number],MTBF_Intel15[[#This Row],[Week]],Runhours_Table[System],$A$1)</f>
        <v>0</v>
      </c>
      <c r="D18" s="93">
        <f>SUMIFS(Runhours_Table[Up Time],Runhours_Table[Year-Week Number],MTBF_Intel15[[#This Row],[Week]],Runhours_Table[System],$A$1)</f>
        <v>0</v>
      </c>
      <c r="E18" s="89">
        <f>COUNTIFS(Errorlog_table[System],$A$1,Errorlog_table[Year_Week_Number],MTBF_Intel15[[#This Row],[Week]],Errorlog_table[P_Hits],"Y",Errorlog_table[Reconciled],"Y")</f>
        <v>0</v>
      </c>
      <c r="F18" s="89">
        <f>COUNTIFS(Errorlog_table[System],$A$1,Errorlog_table[Year_Week_Number],MTBF_Intel15[[#This Row],[Week]],Errorlog_table[U_Hits],"Y",Errorlog_table[Reconciled],"Y")</f>
        <v>0</v>
      </c>
      <c r="G18" s="95">
        <f>IF(MTBF_Intel15[[#This Row],[P hits]]=0,MTBF_Intel15[[#This Row],[Productive time '[hrs']]],MTBF_Intel15[[#This Row],[Productive time '[hrs']]]/MTBF_Intel15[[#This Row],[P hits]])</f>
        <v>0</v>
      </c>
      <c r="H18" s="95">
        <f t="shared" si="1"/>
        <v>0</v>
      </c>
      <c r="I18" s="95">
        <f>IF(SUM(E6:E18)=0,SUM(C6:C18),SUM(C6:C18)/SUM(E6:E18))</f>
        <v>0</v>
      </c>
      <c r="J18" s="95">
        <f>IF(MTBF_Intel15[[#This Row],[U hits]]=0,MTBF_Intel15[[#This Row],[Uptime '[hrs']]],MTBF_Intel15[[#This Row],[Uptime '[hrs']]]/MTBF_Intel15[[#This Row],[U hits]])</f>
        <v>0</v>
      </c>
      <c r="K18" s="95">
        <f t="shared" si="2"/>
        <v>0</v>
      </c>
      <c r="L18" s="95">
        <f>IF(SUM(F6:F18)=0,SUM(D6:D18),SUM(D6:D18)/SUM(F6:F18))</f>
        <v>0</v>
      </c>
    </row>
    <row r="19" spans="1:12">
      <c r="A19" s="89">
        <v>2443</v>
      </c>
      <c r="B19" s="89" t="str">
        <f t="shared" si="0"/>
        <v>wk2443</v>
      </c>
      <c r="C19" s="93">
        <f>SUMIFS(Runhours_Table[Productive Hours],Runhours_Table[Year-Week Number],MTBF_Intel15[[#This Row],[Week]],Runhours_Table[System],$A$1)</f>
        <v>0</v>
      </c>
      <c r="D19" s="93">
        <f>SUMIFS(Runhours_Table[Up Time],Runhours_Table[Year-Week Number],MTBF_Intel15[[#This Row],[Week]],Runhours_Table[System],$A$1)</f>
        <v>0</v>
      </c>
      <c r="E19" s="89">
        <f>COUNTIFS(Errorlog_table[System],$A$1,Errorlog_table[Year_Week_Number],MTBF_Intel15[[#This Row],[Week]],Errorlog_table[P_Hits],"Y",Errorlog_table[Reconciled],"Y")</f>
        <v>0</v>
      </c>
      <c r="F19" s="89">
        <f>COUNTIFS(Errorlog_table[System],$A$1,Errorlog_table[Year_Week_Number],MTBF_Intel15[[#This Row],[Week]],Errorlog_table[U_Hits],"Y",Errorlog_table[Reconciled],"Y")</f>
        <v>0</v>
      </c>
      <c r="G19" s="95">
        <f>IF(MTBF_Intel15[[#This Row],[P hits]]=0,MTBF_Intel15[[#This Row],[Productive time '[hrs']]],MTBF_Intel15[[#This Row],[Productive time '[hrs']]]/MTBF_Intel15[[#This Row],[P hits]])</f>
        <v>0</v>
      </c>
      <c r="H19" s="95">
        <f t="shared" si="1"/>
        <v>0</v>
      </c>
      <c r="I19" s="95">
        <f>IF(SUM(E7:E19)=0,SUM(C7:C19),SUM(C7:C19)/SUM(E7:E19))</f>
        <v>0</v>
      </c>
      <c r="J19" s="95">
        <f>IF(MTBF_Intel15[[#This Row],[U hits]]=0,MTBF_Intel15[[#This Row],[Uptime '[hrs']]],MTBF_Intel15[[#This Row],[Uptime '[hrs']]]/MTBF_Intel15[[#This Row],[U hits]])</f>
        <v>0</v>
      </c>
      <c r="K19" s="95">
        <f t="shared" si="2"/>
        <v>0</v>
      </c>
      <c r="L19" s="95">
        <f>IF(SUM(F7:F19)=0,SUM(D7:D19),SUM(D7:D19)/SUM(F7:F19))</f>
        <v>0</v>
      </c>
    </row>
    <row r="20" spans="1:12">
      <c r="A20" s="89">
        <v>2444</v>
      </c>
      <c r="B20" s="89" t="str">
        <f t="shared" si="0"/>
        <v>wk2444</v>
      </c>
      <c r="C20" s="93">
        <f>SUMIFS(Runhours_Table[Productive Hours],Runhours_Table[Year-Week Number],MTBF_Intel15[[#This Row],[Week]],Runhours_Table[System],$A$1)</f>
        <v>0</v>
      </c>
      <c r="D20" s="93">
        <f>SUMIFS(Runhours_Table[Up Time],Runhours_Table[Year-Week Number],MTBF_Intel15[[#This Row],[Week]],Runhours_Table[System],$A$1)</f>
        <v>0</v>
      </c>
      <c r="E20" s="89">
        <f>COUNTIFS(Errorlog_table[System],$A$1,Errorlog_table[Year_Week_Number],MTBF_Intel15[[#This Row],[Week]],Errorlog_table[P_Hits],"Y",Errorlog_table[Reconciled],"Y")</f>
        <v>0</v>
      </c>
      <c r="F20" s="89">
        <f>COUNTIFS(Errorlog_table[System],$A$1,Errorlog_table[Year_Week_Number],MTBF_Intel15[[#This Row],[Week]],Errorlog_table[U_Hits],"Y",Errorlog_table[Reconciled],"Y")</f>
        <v>0</v>
      </c>
      <c r="G20" s="95">
        <f>IF(MTBF_Intel15[[#This Row],[P hits]]=0,MTBF_Intel15[[#This Row],[Productive time '[hrs']]],MTBF_Intel15[[#This Row],[Productive time '[hrs']]]/MTBF_Intel15[[#This Row],[P hits]])</f>
        <v>0</v>
      </c>
      <c r="H20" s="95">
        <f t="shared" si="1"/>
        <v>0</v>
      </c>
      <c r="I20" s="95">
        <f t="shared" ref="I20:I26" si="3">IF(SUM(E8:E20)=0,SUM(C8:C20),SUM(C8:C20)/SUM(E8:E20))</f>
        <v>0</v>
      </c>
      <c r="J20" s="95">
        <f>IF(MTBF_Intel15[[#This Row],[U hits]]=0,MTBF_Intel15[[#This Row],[Uptime '[hrs']]],MTBF_Intel15[[#This Row],[Uptime '[hrs']]]/MTBF_Intel15[[#This Row],[U hits]])</f>
        <v>0</v>
      </c>
      <c r="K20" s="95">
        <f t="shared" si="2"/>
        <v>0</v>
      </c>
      <c r="L20" s="95">
        <f t="shared" ref="L20:L25" si="4">IF(SUM(F8:F20)=0,SUM(D8:D20),SUM(D8:D20)/SUM(F8:F20))</f>
        <v>0</v>
      </c>
    </row>
    <row r="21" spans="1:12">
      <c r="A21" s="89">
        <v>2445</v>
      </c>
      <c r="B21" s="89" t="str">
        <f t="shared" si="0"/>
        <v>wk2445</v>
      </c>
      <c r="C21" s="93">
        <f>SUMIFS(Runhours_Table[Productive Hours],Runhours_Table[Year-Week Number],MTBF_Intel15[[#This Row],[Week]],Runhours_Table[System],$A$1)</f>
        <v>0</v>
      </c>
      <c r="D21" s="93">
        <f>SUMIFS(Runhours_Table[Up Time],Runhours_Table[Year-Week Number],MTBF_Intel15[[#This Row],[Week]],Runhours_Table[System],$A$1)</f>
        <v>0</v>
      </c>
      <c r="E21" s="89">
        <f>COUNTIFS(Errorlog_table[System],$A$1,Errorlog_table[Year_Week_Number],MTBF_Intel15[[#This Row],[Week]],Errorlog_table[P_Hits],"Y",Errorlog_table[Reconciled],"Y")</f>
        <v>0</v>
      </c>
      <c r="F21" s="89">
        <f>COUNTIFS(Errorlog_table[System],$A$1,Errorlog_table[Year_Week_Number],MTBF_Intel15[[#This Row],[Week]],Errorlog_table[U_Hits],"Y",Errorlog_table[Reconciled],"Y")</f>
        <v>0</v>
      </c>
      <c r="G21" s="95">
        <f>IF(MTBF_Intel15[[#This Row],[P hits]]=0,MTBF_Intel15[[#This Row],[Productive time '[hrs']]],MTBF_Intel15[[#This Row],[Productive time '[hrs']]]/MTBF_Intel15[[#This Row],[P hits]])</f>
        <v>0</v>
      </c>
      <c r="H21" s="95">
        <f t="shared" si="1"/>
        <v>0</v>
      </c>
      <c r="I21" s="95">
        <f t="shared" si="3"/>
        <v>0</v>
      </c>
      <c r="J21" s="95">
        <f>IF(MTBF_Intel15[[#This Row],[U hits]]=0,MTBF_Intel15[[#This Row],[Uptime '[hrs']]],MTBF_Intel15[[#This Row],[Uptime '[hrs']]]/MTBF_Intel15[[#This Row],[U hits]])</f>
        <v>0</v>
      </c>
      <c r="K21" s="95">
        <f t="shared" si="2"/>
        <v>0</v>
      </c>
      <c r="L21" s="95">
        <f t="shared" si="4"/>
        <v>0</v>
      </c>
    </row>
    <row r="22" spans="1:12">
      <c r="A22" s="89">
        <v>2446</v>
      </c>
      <c r="B22" s="89" t="str">
        <f t="shared" si="0"/>
        <v>wk2446</v>
      </c>
      <c r="C22" s="93">
        <f>SUMIFS(Runhours_Table[Productive Hours],Runhours_Table[Year-Week Number],MTBF_Intel15[[#This Row],[Week]],Runhours_Table[System],$A$1)</f>
        <v>0</v>
      </c>
      <c r="D22" s="93">
        <f>SUMIFS(Runhours_Table[Up Time],Runhours_Table[Year-Week Number],MTBF_Intel15[[#This Row],[Week]],Runhours_Table[System],$A$1)</f>
        <v>0</v>
      </c>
      <c r="E22" s="89">
        <f>COUNTIFS(Errorlog_table[System],$A$1,Errorlog_table[Year_Week_Number],MTBF_Intel15[[#This Row],[Week]],Errorlog_table[P_Hits],"Y",Errorlog_table[Reconciled],"Y")</f>
        <v>0</v>
      </c>
      <c r="F22" s="89">
        <f>COUNTIFS(Errorlog_table[System],$A$1,Errorlog_table[Year_Week_Number],MTBF_Intel15[[#This Row],[Week]],Errorlog_table[U_Hits],"Y",Errorlog_table[Reconciled],"Y")</f>
        <v>0</v>
      </c>
      <c r="G22" s="95">
        <f>IF(MTBF_Intel15[[#This Row],[P hits]]=0,MTBF_Intel15[[#This Row],[Productive time '[hrs']]],MTBF_Intel15[[#This Row],[Productive time '[hrs']]]/MTBF_Intel15[[#This Row],[P hits]])</f>
        <v>0</v>
      </c>
      <c r="H22" s="95">
        <f t="shared" si="1"/>
        <v>0</v>
      </c>
      <c r="I22" s="95">
        <f t="shared" si="3"/>
        <v>0</v>
      </c>
      <c r="J22" s="95">
        <f>IF(MTBF_Intel15[[#This Row],[U hits]]=0,MTBF_Intel15[[#This Row],[Uptime '[hrs']]],MTBF_Intel15[[#This Row],[Uptime '[hrs']]]/MTBF_Intel15[[#This Row],[U hits]])</f>
        <v>0</v>
      </c>
      <c r="K22" s="95">
        <f t="shared" si="2"/>
        <v>0</v>
      </c>
      <c r="L22" s="95">
        <f t="shared" si="4"/>
        <v>0</v>
      </c>
    </row>
    <row r="23" spans="1:12">
      <c r="A23" s="89">
        <v>2447</v>
      </c>
      <c r="B23" s="89" t="str">
        <f t="shared" si="0"/>
        <v>wk2447</v>
      </c>
      <c r="C23" s="93">
        <f>SUMIFS(Runhours_Table[Productive Hours],Runhours_Table[Year-Week Number],MTBF_Intel15[[#This Row],[Week]],Runhours_Table[System],$A$1)</f>
        <v>0</v>
      </c>
      <c r="D23" s="93">
        <f>SUMIFS(Runhours_Table[Up Time],Runhours_Table[Year-Week Number],MTBF_Intel15[[#This Row],[Week]],Runhours_Table[System],$A$1)</f>
        <v>0</v>
      </c>
      <c r="E23" s="89">
        <f>COUNTIFS(Errorlog_table[System],$A$1,Errorlog_table[Year_Week_Number],MTBF_Intel15[[#This Row],[Week]],Errorlog_table[P_Hits],"Y",Errorlog_table[Reconciled],"Y")</f>
        <v>0</v>
      </c>
      <c r="F23" s="89">
        <f>COUNTIFS(Errorlog_table[System],$A$1,Errorlog_table[Year_Week_Number],MTBF_Intel15[[#This Row],[Week]],Errorlog_table[U_Hits],"Y",Errorlog_table[Reconciled],"Y")</f>
        <v>0</v>
      </c>
      <c r="G23" s="95">
        <f>IF(MTBF_Intel15[[#This Row],[P hits]]=0,MTBF_Intel15[[#This Row],[Productive time '[hrs']]],MTBF_Intel15[[#This Row],[Productive time '[hrs']]]/MTBF_Intel15[[#This Row],[P hits]])</f>
        <v>0</v>
      </c>
      <c r="H23" s="95">
        <f t="shared" si="1"/>
        <v>0</v>
      </c>
      <c r="I23" s="95">
        <f t="shared" si="3"/>
        <v>0</v>
      </c>
      <c r="J23" s="95">
        <f>IF(MTBF_Intel15[[#This Row],[U hits]]=0,MTBF_Intel15[[#This Row],[Uptime '[hrs']]],MTBF_Intel15[[#This Row],[Uptime '[hrs']]]/MTBF_Intel15[[#This Row],[U hits]])</f>
        <v>0</v>
      </c>
      <c r="K23" s="95">
        <f t="shared" si="2"/>
        <v>0</v>
      </c>
      <c r="L23" s="95">
        <f t="shared" si="4"/>
        <v>0</v>
      </c>
    </row>
    <row r="24" spans="1:12">
      <c r="A24" s="89">
        <v>2448</v>
      </c>
      <c r="B24" s="89" t="str">
        <f t="shared" si="0"/>
        <v>wk2448</v>
      </c>
      <c r="C24" s="93">
        <f>SUMIFS(Runhours_Table[Productive Hours],Runhours_Table[Year-Week Number],MTBF_Intel15[[#This Row],[Week]],Runhours_Table[System],$A$1)</f>
        <v>0</v>
      </c>
      <c r="D24" s="93">
        <f>SUMIFS(Runhours_Table[Up Time],Runhours_Table[Year-Week Number],MTBF_Intel15[[#This Row],[Week]],Runhours_Table[System],$A$1)</f>
        <v>0</v>
      </c>
      <c r="E24" s="89">
        <f>COUNTIFS(Errorlog_table[System],$A$1,Errorlog_table[Year_Week_Number],MTBF_Intel15[[#This Row],[Week]],Errorlog_table[P_Hits],"Y",Errorlog_table[Reconciled],"Y")</f>
        <v>0</v>
      </c>
      <c r="F24" s="89">
        <f>COUNTIFS(Errorlog_table[System],$A$1,Errorlog_table[Year_Week_Number],MTBF_Intel15[[#This Row],[Week]],Errorlog_table[U_Hits],"Y",Errorlog_table[Reconciled],"Y")</f>
        <v>0</v>
      </c>
      <c r="G24" s="95">
        <f>IF(MTBF_Intel15[[#This Row],[P hits]]=0,MTBF_Intel15[[#This Row],[Productive time '[hrs']]],MTBF_Intel15[[#This Row],[Productive time '[hrs']]]/MTBF_Intel15[[#This Row],[P hits]])</f>
        <v>0</v>
      </c>
      <c r="H24" s="95">
        <f t="shared" si="1"/>
        <v>0</v>
      </c>
      <c r="I24" s="95">
        <f t="shared" si="3"/>
        <v>0</v>
      </c>
      <c r="J24" s="95">
        <f>IF(MTBF_Intel15[[#This Row],[U hits]]=0,MTBF_Intel15[[#This Row],[Uptime '[hrs']]],MTBF_Intel15[[#This Row],[Uptime '[hrs']]]/MTBF_Intel15[[#This Row],[U hits]])</f>
        <v>0</v>
      </c>
      <c r="K24" s="95">
        <f t="shared" si="2"/>
        <v>0</v>
      </c>
      <c r="L24" s="95">
        <f t="shared" si="4"/>
        <v>0</v>
      </c>
    </row>
    <row r="25" spans="1:12">
      <c r="A25" s="89">
        <v>2449</v>
      </c>
      <c r="B25" s="89" t="str">
        <f t="shared" si="0"/>
        <v>wk2449</v>
      </c>
      <c r="C25" s="93">
        <f>SUMIFS(Runhours_Table[Productive Hours],Runhours_Table[Year-Week Number],MTBF_Intel15[[#This Row],[Week]],Runhours_Table[System],$A$1)</f>
        <v>0</v>
      </c>
      <c r="D25" s="93">
        <f>SUMIFS(Runhours_Table[Up Time],Runhours_Table[Year-Week Number],MTBF_Intel15[[#This Row],[Week]],Runhours_Table[System],$A$1)</f>
        <v>0</v>
      </c>
      <c r="E25" s="89">
        <f>COUNTIFS(Errorlog_table[System],$A$1,Errorlog_table[Year_Week_Number],MTBF_Intel15[[#This Row],[Week]],Errorlog_table[P_Hits],"Y",Errorlog_table[Reconciled],"Y")</f>
        <v>0</v>
      </c>
      <c r="F25" s="89">
        <f>COUNTIFS(Errorlog_table[System],$A$1,Errorlog_table[Year_Week_Number],MTBF_Intel15[[#This Row],[Week]],Errorlog_table[U_Hits],"Y",Errorlog_table[Reconciled],"Y")</f>
        <v>0</v>
      </c>
      <c r="G25" s="95">
        <f>IF(MTBF_Intel15[[#This Row],[P hits]]=0,MTBF_Intel15[[#This Row],[Productive time '[hrs']]],MTBF_Intel15[[#This Row],[Productive time '[hrs']]]/MTBF_Intel15[[#This Row],[P hits]])</f>
        <v>0</v>
      </c>
      <c r="H25" s="95">
        <f t="shared" si="1"/>
        <v>0</v>
      </c>
      <c r="I25" s="95">
        <f t="shared" si="3"/>
        <v>0</v>
      </c>
      <c r="J25" s="95">
        <f>IF(MTBF_Intel15[[#This Row],[U hits]]=0,MTBF_Intel15[[#This Row],[Uptime '[hrs']]],MTBF_Intel15[[#This Row],[Uptime '[hrs']]]/MTBF_Intel15[[#This Row],[U hits]])</f>
        <v>0</v>
      </c>
      <c r="K25" s="95">
        <f t="shared" si="2"/>
        <v>0</v>
      </c>
      <c r="L25" s="95">
        <f t="shared" si="4"/>
        <v>0</v>
      </c>
    </row>
    <row r="26" spans="1:12">
      <c r="A26" s="89">
        <v>2450</v>
      </c>
      <c r="B26" s="89" t="str">
        <f t="shared" si="0"/>
        <v>wk2450</v>
      </c>
      <c r="C26" s="93">
        <f>SUMIFS(Runhours_Table[Productive Hours],Runhours_Table[Year-Week Number],MTBF_Intel15[[#This Row],[Week]],Runhours_Table[System],$A$1)</f>
        <v>0</v>
      </c>
      <c r="D26" s="93">
        <f>SUMIFS(Runhours_Table[Up Time],Runhours_Table[Year-Week Number],MTBF_Intel15[[#This Row],[Week]],Runhours_Table[System],$A$1)</f>
        <v>0</v>
      </c>
      <c r="E26" s="89">
        <f>COUNTIFS(Errorlog_table[System],$A$1,Errorlog_table[Year_Week_Number],MTBF_Intel15[[#This Row],[Week]],Errorlog_table[P_Hits],"Y",Errorlog_table[Reconciled],"Y")</f>
        <v>0</v>
      </c>
      <c r="F26" s="89">
        <f>COUNTIFS(Errorlog_table[System],$A$1,Errorlog_table[Year_Week_Number],MTBF_Intel15[[#This Row],[Week]],Errorlog_table[U_Hits],"Y",Errorlog_table[Reconciled],"Y")</f>
        <v>0</v>
      </c>
      <c r="G26" s="93">
        <f>IF(MTBF_Intel15[[#This Row],[P hits]]=0,MTBF_Intel15[[#This Row],[Productive time '[hrs']]],MTBF_Intel15[[#This Row],[Productive time '[hrs']]]/MTBF_Intel15[[#This Row],[P hits]])</f>
        <v>0</v>
      </c>
      <c r="H26" s="95">
        <f>IF(SUM(E23:E26)=0,SUM(C23:C26),SUM(C23:C26)/SUM(E23:E26))</f>
        <v>0</v>
      </c>
      <c r="I26" s="95">
        <f t="shared" si="3"/>
        <v>0</v>
      </c>
      <c r="J26" s="95">
        <f>IF(MTBF_Intel15[[#This Row],[U hits]]=0,MTBF_Intel15[[#This Row],[Uptime '[hrs']]],MTBF_Intel15[[#This Row],[Uptime '[hrs']]]/MTBF_Intel15[[#This Row],[U hits]])</f>
        <v>0</v>
      </c>
      <c r="K26" s="93">
        <f>IF(SUM(F23:F26)=0,SUM(D23:D26),SUM(D23:D26)/SUM(F23:F26))</f>
        <v>0</v>
      </c>
      <c r="L26" s="95">
        <f>IF(SUM(F14:F26)=0,SUM(D14:D26),SUM(D14:D26)/SUM(F14:F26))</f>
        <v>0</v>
      </c>
    </row>
    <row r="27" spans="1:12">
      <c r="A27" s="89">
        <v>2451</v>
      </c>
      <c r="B27" s="89" t="str">
        <f t="shared" si="0"/>
        <v>wk2451</v>
      </c>
      <c r="C27" s="93">
        <f>SUMIFS(Runhours_Table[Productive Hours],Runhours_Table[Year-Week Number],MTBF_Intel15[[#This Row],[Week]],Runhours_Table[System],$A$1)</f>
        <v>0</v>
      </c>
      <c r="D27" s="93">
        <f>SUMIFS(Runhours_Table[Up Time],Runhours_Table[Year-Week Number],MTBF_Intel15[[#This Row],[Week]],Runhours_Table[System],$A$1)</f>
        <v>0</v>
      </c>
      <c r="E27" s="89">
        <f>COUNTIFS(Errorlog_table[System],$A$1,Errorlog_table[Year_Week_Number],MTBF_Intel15[[#This Row],[Week]],Errorlog_table[P_Hits],"Y",Errorlog_table[Reconciled],"Y")</f>
        <v>0</v>
      </c>
      <c r="F27" s="89">
        <f>COUNTIFS(Errorlog_table[System],$A$1,Errorlog_table[Year_Week_Number],MTBF_Intel15[[#This Row],[Week]],Errorlog_table[U_Hits],"Y",Errorlog_table[Reconciled],"Y")</f>
        <v>0</v>
      </c>
      <c r="G27" s="93">
        <f>IF(MTBF_Intel15[[#This Row],[P hits]]=0,MTBF_Intel15[[#This Row],[Productive time '[hrs']]],MTBF_Intel15[[#This Row],[Productive time '[hrs']]]/MTBF_Intel15[[#This Row],[P hits]])</f>
        <v>0</v>
      </c>
      <c r="H27" s="95">
        <f>IF(SUM(E24:E27)=0,SUM(C24:C27),SUM(C24:C27)/SUM(E24:E27))</f>
        <v>0</v>
      </c>
      <c r="I27" s="95">
        <f>IF(SUM(E15:E27)=0,SUM(C15:C27),SUM(C15:C27)/SUM(E15:E27))</f>
        <v>0</v>
      </c>
      <c r="J27" s="95">
        <f>IF(MTBF_Intel15[[#This Row],[U hits]]=0,MTBF_Intel15[[#This Row],[Uptime '[hrs']]],MTBF_Intel15[[#This Row],[Uptime '[hrs']]]/MTBF_Intel15[[#This Row],[U hits]])</f>
        <v>0</v>
      </c>
      <c r="K27" s="93">
        <f>IF(SUM(F24:F27)=0,SUM(D24:D27),SUM(D24:D27)/SUM(F24:F27))</f>
        <v>0</v>
      </c>
      <c r="L27" s="95">
        <f>IF(SUM(F15:F27)=0,SUM(D15:D27),SUM(D15:D27)/SUM(F15:F27))</f>
        <v>0</v>
      </c>
    </row>
    <row r="28" spans="1:12">
      <c r="A28" s="89">
        <v>2452</v>
      </c>
      <c r="B28" s="89" t="str">
        <f t="shared" si="0"/>
        <v>wk2452</v>
      </c>
      <c r="C28" s="93">
        <f>SUMIFS(Runhours_Table[Productive Hours],Runhours_Table[Year-Week Number],MTBF_Intel15[[#This Row],[Week]],Runhours_Table[System],$A$1)</f>
        <v>0</v>
      </c>
      <c r="D28" s="93">
        <f>SUMIFS(Runhours_Table[Up Time],Runhours_Table[Year-Week Number],MTBF_Intel15[[#This Row],[Week]],Runhours_Table[System],$A$1)</f>
        <v>0</v>
      </c>
      <c r="E28" s="89">
        <f>COUNTIFS(Errorlog_table[System],$A$1,Errorlog_table[Year_Week_Number],MTBF_Intel15[[#This Row],[Week]],Errorlog_table[P_Hits],"Y",Errorlog_table[Reconciled],"Y")</f>
        <v>0</v>
      </c>
      <c r="F28" s="89">
        <f>COUNTIFS(Errorlog_table[System],$A$1,Errorlog_table[Year_Week_Number],MTBF_Intel15[[#This Row],[Week]],Errorlog_table[U_Hits],"Y",Errorlog_table[Reconciled],"Y")</f>
        <v>0</v>
      </c>
      <c r="G28" s="93">
        <f>IF(MTBF_Intel15[[#This Row],[P hits]]=0,MTBF_Intel15[[#This Row],[Productive time '[hrs']]],MTBF_Intel15[[#This Row],[Productive time '[hrs']]]/MTBF_Intel15[[#This Row],[P hits]])</f>
        <v>0</v>
      </c>
      <c r="H28" s="95">
        <f>IF(SUM(E25:E28)=0,SUM(C25:C28),SUM(C25:C28)/SUM(E25:E28))</f>
        <v>0</v>
      </c>
      <c r="I28" s="95">
        <f>IF(SUM(E16:E28)=0,SUM(C16:C28),SUM(C16:C28)/SUM(E16:E28))</f>
        <v>0</v>
      </c>
      <c r="J28" s="95">
        <f>IF(MTBF_Intel15[[#This Row],[U hits]]=0,MTBF_Intel15[[#This Row],[Uptime '[hrs']]],MTBF_Intel15[[#This Row],[Uptime '[hrs']]]/MTBF_Intel15[[#This Row],[U hits]])</f>
        <v>0</v>
      </c>
      <c r="K28" s="93">
        <f>IF(SUM(F25:F28)=0,SUM(D25:D28),SUM(D25:D28)/SUM(F25:F28))</f>
        <v>0</v>
      </c>
      <c r="L28" s="95">
        <f>IF(SUM(F16:F28)=0,SUM(D16:D28),SUM(D16:D28)/SUM(F16:F28))</f>
        <v>0</v>
      </c>
    </row>
    <row r="29" spans="1:12">
      <c r="A29" s="89">
        <v>2501</v>
      </c>
      <c r="B29" s="89" t="str">
        <f t="shared" si="0"/>
        <v>wk2501</v>
      </c>
      <c r="C29" s="93">
        <f>SUMIFS(Runhours_Table[Productive Hours],Runhours_Table[Year-Week Number],MTBF_Intel15[[#This Row],[Week]],Runhours_Table[System],$A$1)</f>
        <v>0</v>
      </c>
      <c r="D29" s="93">
        <f>SUMIFS(Runhours_Table[Up Time],Runhours_Table[Year-Week Number],MTBF_Intel15[[#This Row],[Week]],Runhours_Table[System],$A$1)</f>
        <v>0</v>
      </c>
      <c r="E29" s="89">
        <f>COUNTIFS(Errorlog_table[System],$A$1,Errorlog_table[Year_Week_Number],MTBF_Intel15[[#This Row],[Week]],Errorlog_table[P_Hits],"Y",Errorlog_table[Reconciled],"Y")</f>
        <v>0</v>
      </c>
      <c r="F29" s="89">
        <f>COUNTIFS(Errorlog_table[System],$A$1,Errorlog_table[Year_Week_Number],MTBF_Intel15[[#This Row],[Week]],Errorlog_table[U_Hits],"Y",Errorlog_table[Reconciled],"Y")</f>
        <v>0</v>
      </c>
      <c r="G29" s="93">
        <f>IF(MTBF_Intel15[[#This Row],[P hits]]=0,MTBF_Intel15[[#This Row],[Productive time '[hrs']]],MTBF_Intel15[[#This Row],[Productive time '[hrs']]]/MTBF_Intel15[[#This Row],[P hits]])</f>
        <v>0</v>
      </c>
      <c r="H29" s="95">
        <f>IF(SUM(E26:E29)=0,SUM(C26:C29),SUM(C26:C29)/SUM(E26:E29))</f>
        <v>0</v>
      </c>
      <c r="I29" s="95">
        <f>IF(SUM(E17:E29)=0,SUM(C17:C29),SUM(C17:C29)/SUM(E17:E29))</f>
        <v>0</v>
      </c>
      <c r="J29" s="95">
        <f>IF(MTBF_Intel15[[#This Row],[U hits]]=0,MTBF_Intel15[[#This Row],[Uptime '[hrs']]],MTBF_Intel15[[#This Row],[Uptime '[hrs']]]/MTBF_Intel15[[#This Row],[U hits]])</f>
        <v>0</v>
      </c>
      <c r="K29" s="93">
        <f>IF(SUM(F26:F29)=0,SUM(D26:D29),SUM(D26:D29)/SUM(F26:F29))</f>
        <v>0</v>
      </c>
      <c r="L29" s="95">
        <f>IF(SUM(F17:F29)=0,SUM(D17:D29),SUM(D17:D29)/SUM(F17:F29))</f>
        <v>0</v>
      </c>
    </row>
    <row r="30" spans="1:12">
      <c r="A30" s="89">
        <v>2502</v>
      </c>
      <c r="B30" s="89" t="str">
        <f>"wk"&amp;A30</f>
        <v>wk2502</v>
      </c>
      <c r="C30" s="93">
        <f>SUMIFS(Runhours_Table[Productive Hours],Runhours_Table[Year-Week Number],MTBF_Intel15[[#This Row],[Week]],Runhours_Table[System],$A$1)</f>
        <v>0</v>
      </c>
      <c r="D30" s="93">
        <f>SUMIFS(Runhours_Table[Up Time],Runhours_Table[Year-Week Number],MTBF_Intel15[[#This Row],[Week]],Runhours_Table[System],$A$1)</f>
        <v>0</v>
      </c>
      <c r="E30" s="89">
        <f>COUNTIFS(Errorlog_table[System],$A$1,Errorlog_table[Year_Week_Number],MTBF_Intel15[[#This Row],[Week]],Errorlog_table[P_Hits],"Y",Errorlog_table[Reconciled],"Y")</f>
        <v>0</v>
      </c>
      <c r="F30" s="89">
        <f>COUNTIFS(Errorlog_table[System],$A$1,Errorlog_table[Year_Week_Number],MTBF_Intel15[[#This Row],[Week]],Errorlog_table[U_Hits],"Y",Errorlog_table[Reconciled],"Y")</f>
        <v>0</v>
      </c>
      <c r="G30" s="93">
        <f>IF(MTBF_Intel15[[#This Row],[P hits]]=0,MTBF_Intel15[[#This Row],[Productive time '[hrs']]],MTBF_Intel15[[#This Row],[Productive time '[hrs']]]/MTBF_Intel15[[#This Row],[P hits]])</f>
        <v>0</v>
      </c>
      <c r="H30" s="95">
        <f>IF(SUM(E27:E30)=0,SUM(C27:C30),SUM(C27:C30)/SUM(E27:E30))</f>
        <v>0</v>
      </c>
      <c r="I30" s="95">
        <f>IF(SUM(E18:E30)=0,SUM(C18:C30),SUM(C18:C30)/SUM(E18:E30))</f>
        <v>0</v>
      </c>
      <c r="J30" s="95">
        <f>IF(MTBF_Intel15[[#This Row],[U hits]]=0,MTBF_Intel15[[#This Row],[Uptime '[hrs']]],MTBF_Intel15[[#This Row],[Uptime '[hrs']]]/MTBF_Intel15[[#This Row],[U hits]])</f>
        <v>0</v>
      </c>
      <c r="K30" s="93">
        <f>IF(SUM(F27:F30)=0,SUM(D27:D30),SUM(D27:D30)/SUM(F27:F30))</f>
        <v>0</v>
      </c>
      <c r="L30" s="95">
        <f>IF(SUM(F18:F30)=0,SUM(D18:D30),SUM(D18:D30)/SUM(F18:F30))</f>
        <v>0</v>
      </c>
    </row>
  </sheetData>
  <dataValidations count="1">
    <dataValidation type="list" allowBlank="1" showInputMessage="1" showErrorMessage="1" sqref="B2" xr:uid="{96EF64C6-E77C-477A-99F2-ED6CDE3FA662}">
      <formula1>INDIRECT("MTBF_Intel[Week]")</formula1>
    </dataValidation>
  </dataValidations>
  <pageMargins left="0.7" right="0.7" top="0.75" bottom="0.75" header="0.3" footer="0.3"/>
  <drawing r:id="rId1"/>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54EE5-B214-4D14-8A1F-C606AECA5FE9}">
  <sheetPr codeName="Sheet10">
    <tabColor rgb="FF92D050"/>
  </sheetPr>
  <dimension ref="A1:AJ32"/>
  <sheetViews>
    <sheetView topLeftCell="E1" zoomScale="80" zoomScaleNormal="80" workbookViewId="0">
      <selection activeCell="L42" sqref="L42"/>
    </sheetView>
  </sheetViews>
  <sheetFormatPr defaultRowHeight="15"/>
  <cols>
    <col min="1" max="1" width="15.140625" bestFit="1" customWidth="1"/>
    <col min="2" max="2" width="15.5703125" customWidth="1"/>
    <col min="3" max="3" width="22.140625" bestFit="1" customWidth="1"/>
    <col min="4" max="4" width="14.5703125" customWidth="1"/>
    <col min="5" max="6" width="8.5703125" bestFit="1" customWidth="1"/>
    <col min="7" max="12" width="15.140625" customWidth="1"/>
    <col min="15" max="15" width="17" bestFit="1" customWidth="1"/>
    <col min="16" max="16" width="15.5703125" customWidth="1"/>
    <col min="17" max="17" width="22" customWidth="1"/>
    <col min="18" max="18" width="14.5703125" customWidth="1"/>
    <col min="21" max="26" width="15.140625" customWidth="1"/>
    <col min="29" max="29" width="12.85546875" customWidth="1"/>
    <col min="30" max="30" width="15.5703125" customWidth="1"/>
    <col min="31" max="33" width="24" customWidth="1"/>
    <col min="34" max="35" width="19.85546875" customWidth="1"/>
    <col min="36" max="36" width="21.140625" bestFit="1" customWidth="1"/>
  </cols>
  <sheetData>
    <row r="1" spans="1:36">
      <c r="A1" t="s">
        <v>1</v>
      </c>
      <c r="B1" s="96" t="s">
        <v>5</v>
      </c>
      <c r="C1" t="str">
        <f>"MTBFp / MTBFu for "&amp;B1&amp;" system"</f>
        <v>MTBFp / MTBFu for Intel system</v>
      </c>
      <c r="O1" t="s">
        <v>961</v>
      </c>
      <c r="P1" t="str">
        <f>IF(B1="Intel","SEC","Intel")</f>
        <v>SEC</v>
      </c>
      <c r="Q1" t="str">
        <f>IF(P1="SEC","tsmc",IF(B1="SEC","tsmc","SEC"))</f>
        <v>tsmc</v>
      </c>
      <c r="R1" t="str">
        <f>"MTBFp / MTBFu for "&amp;O1&amp;" systems"</f>
        <v>MTBFp / MTBFu for RoW systems</v>
      </c>
      <c r="AC1" t="str">
        <f>"MTBF "&amp;B1&amp;" vs "&amp;O1&amp;" (wk"&amp;B4&amp;")"</f>
        <v>MTBF Intel vs RoW (wk2502)</v>
      </c>
    </row>
    <row r="2" spans="1:36">
      <c r="AC2" t="str">
        <f>B1&amp;" vs "&amp;O1&amp;" (Reliability)"</f>
        <v>Intel vs RoW (Reliability)</v>
      </c>
    </row>
    <row r="3" spans="1:36">
      <c r="A3" s="37"/>
      <c r="C3" s="92" t="str">
        <f>MTBF_customer_ROW[[#Headers],[Productive time '[hrs']]]</f>
        <v>Productive time [hrs]</v>
      </c>
      <c r="D3" s="92" t="str">
        <f>MTBF_customer_ROW[[#Headers],[Uptime '[hrs']]]</f>
        <v>Uptime [hrs]</v>
      </c>
      <c r="E3" s="92" t="str">
        <f>MTBF_customer_ROW[[#Headers],[P hits]]</f>
        <v>P hits</v>
      </c>
      <c r="F3" s="92" t="str">
        <f>MTBF_customer_ROW[[#Headers],[U hits]]</f>
        <v>U hits</v>
      </c>
      <c r="G3" s="92"/>
      <c r="H3" s="92" t="str">
        <f>MTBF_customer_ROW[[#Headers],[MTBFp 4wma]]</f>
        <v>MTBFp 4wma</v>
      </c>
      <c r="I3" s="92" t="str">
        <f>MTBF_customer_ROW[[#Headers],[MTBFp 13wma]]</f>
        <v>MTBFp 13wma</v>
      </c>
      <c r="J3" s="92"/>
      <c r="K3" s="92" t="str">
        <f>MTBF_customer_ROW[[#Headers],[MTBFu 4wma]]</f>
        <v>MTBFu 4wma</v>
      </c>
      <c r="L3" s="92" t="str">
        <f>MTBF_customer_ROW[[#Headers],[MTBFu 13wma]]</f>
        <v>MTBFu 13wma</v>
      </c>
      <c r="O3" s="37"/>
      <c r="Q3" s="92" t="str">
        <f>MTBF_RoW[[#Headers],[Productive time '[hrs']]]</f>
        <v>Productive time [hrs]</v>
      </c>
      <c r="R3" s="92" t="str">
        <f>MTBF_RoW[[#Headers],[Uptime '[hrs']]]</f>
        <v>Uptime [hrs]</v>
      </c>
      <c r="S3" s="92" t="str">
        <f>MTBF_RoW[[#Headers],[P hits]]</f>
        <v>P hits</v>
      </c>
      <c r="T3" s="92" t="str">
        <f>MTBF_RoW[[#Headers],[U hits]]</f>
        <v>U hits</v>
      </c>
      <c r="U3" s="92"/>
      <c r="V3" s="92" t="str">
        <f>MTBF_RoW[[#Headers],[MTBFp 4wma]]</f>
        <v>MTBFp 4wma</v>
      </c>
      <c r="W3" s="92" t="str">
        <f>MTBF_RoW[[#Headers],[MTBFp 13wma]]</f>
        <v>MTBFp 13wma</v>
      </c>
      <c r="X3" s="92"/>
      <c r="Y3" s="92" t="str">
        <f>MTBF_RoW[[#Headers],[MTBFu 4wma]]</f>
        <v>MTBFu 4wma</v>
      </c>
      <c r="Z3" s="92" t="str">
        <f>MTBF_RoW[[#Headers],[MTBFu 13wma]]</f>
        <v>MTBFu 13wma</v>
      </c>
    </row>
    <row r="4" spans="1:36">
      <c r="A4" s="87" t="s">
        <v>1134</v>
      </c>
      <c r="B4" s="90">
        <f>MAX(MTBF_customer_ROW[Week])</f>
        <v>2502</v>
      </c>
      <c r="C4" s="94">
        <f ca="1">SUMIFS(MTBF_customer_ROW[Productive time '[hrs']],MTBF_customer_ROW[Week],"&lt;="&amp;B4,MTBF_customer_ROW[Week],"&gt;="&amp;(B4-3))</f>
        <v>0</v>
      </c>
      <c r="D4" s="94">
        <f ca="1">SUMIFS(MTBF_customer_ROW[Uptime '[hrs']],MTBF_customer_ROW[Week],"&lt;="&amp;B4,MTBF_customer_ROW[Week],"&gt;="&amp;(B4-3))</f>
        <v>0</v>
      </c>
      <c r="E4" s="88">
        <f ca="1">SUMIFS(MTBF_customer_ROW[P hits],MTBF_customer_ROW[Week],"&lt;="&amp;B4,MTBF_customer_ROW[Week],"&gt;="&amp;(B4-3))</f>
        <v>0</v>
      </c>
      <c r="F4" s="88">
        <f ca="1">SUMIFS(MTBF_customer_ROW[U hits],MTBF_customer_ROW[Week],"&lt;="&amp;B4,MTBF_customer_ROW[Week],"&gt;="&amp;(B4-3))</f>
        <v>0</v>
      </c>
      <c r="G4" s="88"/>
      <c r="H4" s="91">
        <f ca="1">_xlfn.XLOOKUP(B4,MTBF_customer_ROW[Week],MTBF_customer_ROW[MTBFp 4wma],"not found",0)</f>
        <v>0</v>
      </c>
      <c r="I4" s="91">
        <f ca="1">_xlfn.XLOOKUP(B4,MTBF_customer_ROW[Week],MTBF_customer_ROW[MTBFp 13wma],"not found",0)</f>
        <v>0</v>
      </c>
      <c r="J4" s="88"/>
      <c r="K4" s="91">
        <f ca="1">_xlfn.XLOOKUP(B4,MTBF_customer_ROW[Week],MTBF_customer_ROW[MTBFu 4wma],"not found",0)</f>
        <v>0</v>
      </c>
      <c r="L4" s="91">
        <f ca="1">_xlfn.XLOOKUP(B4,MTBF_customer_ROW[Week],MTBF_customer_ROW[MTBFu 13wma],"not found",0)</f>
        <v>0</v>
      </c>
      <c r="O4" s="87" t="s">
        <v>1134</v>
      </c>
      <c r="P4" s="94">
        <f>B4</f>
        <v>2502</v>
      </c>
      <c r="Q4" s="94" t="e">
        <f ca="1">SUMIFS(MTBF_RoW[Productive time '[hrs']],MTBF_RoW[Week],"&lt;="&amp;P4,MTBF_RoW[Week],"&gt;="&amp;(P4-3))</f>
        <v>#REF!</v>
      </c>
      <c r="R4" s="94" t="e">
        <f ca="1">SUMIFS(MTBF_RoW[Uptime '[hrs']],MTBF_RoW[Week],"&lt;="&amp;P4,MTBF_RoW[Week],"&gt;="&amp;(P4-3))</f>
        <v>#REF!</v>
      </c>
      <c r="S4" s="88" t="e">
        <f ca="1">SUMIFS(MTBF_RoW[P hits],MTBF_RoW[Week],"&lt;="&amp;P4,MTBF_RoW[Week],"&gt;="&amp;(P4-3))</f>
        <v>#REF!</v>
      </c>
      <c r="T4" s="88" t="e">
        <f ca="1">SUMIFS(MTBF_RoW[U hits],MTBF_RoW[Week],"&lt;="&amp;P4,MTBF_RoW[Week],"&gt;="&amp;(P4-3))</f>
        <v>#REF!</v>
      </c>
      <c r="U4" s="88"/>
      <c r="V4" s="91" t="e">
        <f ca="1">_xlfn.XLOOKUP(P4,MTBF_RoW[Week],MTBF_RoW[MTBFp 4wma],"not found",0)</f>
        <v>#REF!</v>
      </c>
      <c r="W4" s="91" t="e">
        <f ca="1">_xlfn.XLOOKUP(P4,MTBF_RoW[Week],MTBF_RoW[MTBFp 13wma],"not found",0)</f>
        <v>#REF!</v>
      </c>
      <c r="X4" s="88"/>
      <c r="Y4" s="91" t="e">
        <f ca="1">_xlfn.XLOOKUP(P4,MTBF_RoW[Week],MTBF_RoW[MTBFu 4wma],"not found",0)</f>
        <v>#REF!</v>
      </c>
      <c r="Z4" s="91" t="e">
        <f ca="1">_xlfn.XLOOKUP(P4,MTBF_RoW[Week],MTBF_RoW[MTBFu 13wma],"not found",0)</f>
        <v>#REF!</v>
      </c>
      <c r="AC4" t="str">
        <f>B1&amp;" vs RoW"</f>
        <v>Intel vs RoW</v>
      </c>
    </row>
    <row r="5" spans="1:36">
      <c r="A5" s="147"/>
      <c r="C5" s="148"/>
      <c r="D5" s="148"/>
      <c r="E5" s="92"/>
      <c r="F5" s="92"/>
      <c r="G5" s="92"/>
      <c r="H5" s="149"/>
      <c r="I5" s="149"/>
      <c r="J5" s="92"/>
      <c r="K5" s="149"/>
      <c r="L5" s="149"/>
      <c r="O5" s="147"/>
      <c r="P5" s="148"/>
      <c r="Q5" s="148"/>
      <c r="R5" s="148"/>
      <c r="S5" s="92"/>
      <c r="T5" s="92"/>
      <c r="U5" s="92"/>
      <c r="V5" s="149"/>
      <c r="W5" s="149"/>
      <c r="X5" s="92"/>
      <c r="Y5" s="149"/>
      <c r="Z5" s="149"/>
    </row>
    <row r="6" spans="1:36">
      <c r="AE6" t="str">
        <f>"MTBFp "&amp;B1&amp;" 1wma"</f>
        <v>MTBFp Intel 1wma</v>
      </c>
      <c r="AF6" t="str">
        <f>"MTBFp "&amp;B1&amp;" 4wma"</f>
        <v>MTBFp Intel 4wma</v>
      </c>
      <c r="AG6" t="str">
        <f>"MTBFp "&amp;B1&amp;" 13wma"</f>
        <v>MTBFp Intel 13wma</v>
      </c>
    </row>
    <row r="7" spans="1:36">
      <c r="A7" t="s">
        <v>83</v>
      </c>
      <c r="B7" t="s">
        <v>1135</v>
      </c>
      <c r="C7" t="s">
        <v>1136</v>
      </c>
      <c r="D7" t="s">
        <v>1137</v>
      </c>
      <c r="E7" t="s">
        <v>75</v>
      </c>
      <c r="F7" t="s">
        <v>76</v>
      </c>
      <c r="G7" t="s">
        <v>1138</v>
      </c>
      <c r="H7" t="s">
        <v>1139</v>
      </c>
      <c r="I7" t="s">
        <v>1140</v>
      </c>
      <c r="J7" t="s">
        <v>1141</v>
      </c>
      <c r="K7" t="s">
        <v>1142</v>
      </c>
      <c r="L7" t="s">
        <v>1143</v>
      </c>
      <c r="O7" t="s">
        <v>83</v>
      </c>
      <c r="P7" t="s">
        <v>1135</v>
      </c>
      <c r="Q7" t="s">
        <v>1136</v>
      </c>
      <c r="R7" t="s">
        <v>1137</v>
      </c>
      <c r="S7" t="s">
        <v>75</v>
      </c>
      <c r="T7" t="s">
        <v>76</v>
      </c>
      <c r="U7" t="s">
        <v>1138</v>
      </c>
      <c r="V7" t="s">
        <v>1139</v>
      </c>
      <c r="W7" t="s">
        <v>1140</v>
      </c>
      <c r="X7" t="s">
        <v>1141</v>
      </c>
      <c r="Y7" t="s">
        <v>1142</v>
      </c>
      <c r="Z7" t="s">
        <v>1143</v>
      </c>
      <c r="AC7" t="s">
        <v>83</v>
      </c>
      <c r="AD7" t="s">
        <v>1135</v>
      </c>
      <c r="AE7" t="s">
        <v>1145</v>
      </c>
      <c r="AF7" t="s">
        <v>1146</v>
      </c>
      <c r="AG7" t="s">
        <v>1147</v>
      </c>
      <c r="AH7" t="s">
        <v>1148</v>
      </c>
      <c r="AI7" t="s">
        <v>1149</v>
      </c>
      <c r="AJ7" t="s">
        <v>1150</v>
      </c>
    </row>
    <row r="8" spans="1:36">
      <c r="A8" s="89">
        <v>2430</v>
      </c>
      <c r="B8" s="89" t="str">
        <f>"wk"&amp;MTBF_customer_ROW[[#This Row],[Week]]</f>
        <v>wk2430</v>
      </c>
      <c r="C8" s="93" cm="1">
        <f t="array" aca="1" ref="C8" ca="1">_xlfn.XLOOKUP(MTBF_customer_ROW[[#This Row],[Week]],INDIRECT("MTBF_"&amp;$B$1&amp;"[Week]"),INDIRECT("MTBF_"&amp;$B$1&amp;"[Productive time '[hrs']]"),0,0)</f>
        <v>0</v>
      </c>
      <c r="D8" s="93" cm="1">
        <f t="array" aca="1" ref="D8" ca="1">_xlfn.XLOOKUP(MTBF_customer_ROW[[#This Row],[Week]],INDIRECT("MTBF_"&amp;$B$1&amp;"[Week]"),INDIRECT("MTBF_"&amp;$B$1&amp;"[Uptime '[hrs']]"),0,0)</f>
        <v>0</v>
      </c>
      <c r="E8" s="89" cm="1">
        <f t="array" aca="1" ref="E8" ca="1">_xlfn.XLOOKUP(MTBF_customer_ROW[[#This Row],[Week]],INDIRECT("MTBF_"&amp;$B$1&amp;"[Week]"),INDIRECT("MTBF_"&amp;$B$1&amp;"[P hits]"),0,0)</f>
        <v>0</v>
      </c>
      <c r="F8" s="89" cm="1">
        <f t="array" aca="1" ref="F8" ca="1">_xlfn.XLOOKUP(MTBF_customer_ROW[[#This Row],[Week]],INDIRECT("MTBF_"&amp;$B$1&amp;"[Week]"),INDIRECT("MTBF_"&amp;$B$1&amp;"[U hits]"),0,0)</f>
        <v>0</v>
      </c>
      <c r="G8" s="93" cm="1">
        <f t="array" aca="1" ref="G8" ca="1">_xlfn.XLOOKUP(MTBF_customer_ROW[[#This Row],[Week]],INDIRECT("MTBF_"&amp;$B$1&amp;"[Week]"),INDIRECT("MTBF_"&amp;$B$1&amp;"[MTBFp 1wma]"),0,0)</f>
        <v>0</v>
      </c>
      <c r="H8" s="95" cm="1">
        <f t="array" aca="1" ref="H8" ca="1">_xlfn.XLOOKUP(MTBF_customer_ROW[[#This Row],[Week]],INDIRECT("MTBF_"&amp;$B$1&amp;"[Week]"),INDIRECT("MTBF_"&amp;$B$1&amp;"[MTBFp 4wma]"),0,0)</f>
        <v>0</v>
      </c>
      <c r="I8" s="95" cm="1">
        <f t="array" aca="1" ref="I8" ca="1">_xlfn.XLOOKUP(MTBF_customer_ROW[[#This Row],[Week]],INDIRECT("MTBF_"&amp;$B$1&amp;"[Week]"),INDIRECT("MTBF_"&amp;$B$1&amp;"[MTBFp 13wma]"),0,0)</f>
        <v>0</v>
      </c>
      <c r="J8" s="93" cm="1">
        <f t="array" aca="1" ref="J8" ca="1">_xlfn.XLOOKUP(MTBF_customer_ROW[[#This Row],[Week]],INDIRECT("MTBF_"&amp;$B$1&amp;"[Week]"),INDIRECT("MTBF_"&amp;$B$1&amp;"[MTBFu 1wma]"),0,0)</f>
        <v>0</v>
      </c>
      <c r="K8" s="95" cm="1">
        <f t="array" aca="1" ref="K8" ca="1">_xlfn.XLOOKUP(MTBF_customer_ROW[[#This Row],[Week]],INDIRECT("MTBF_"&amp;$B$1&amp;"[Week]"),INDIRECT("MTBF_"&amp;$B$1&amp;"[MTBFu 4wma]"),0,0)</f>
        <v>0</v>
      </c>
      <c r="L8" s="95" cm="1">
        <f t="array" aca="1" ref="L8" ca="1">_xlfn.XLOOKUP(MTBF_customer_ROW[[#This Row],[Week]],INDIRECT("MTBF_"&amp;$B$1&amp;"[Week]"),INDIRECT("MTBF_"&amp;$B$1&amp;"[MTBFu 13wma]"),0,0)</f>
        <v>0</v>
      </c>
      <c r="O8" s="89">
        <v>2430</v>
      </c>
      <c r="P8" s="89" t="str">
        <f>"wk"&amp;MTBF_RoW[[#This Row],[Week]]</f>
        <v>wk2430</v>
      </c>
      <c r="Q8" s="93" t="e" cm="1">
        <f t="array" aca="1" ref="Q8" ca="1">_xlfn.XLOOKUP(MTBF_RoW[[#This Row],[Week]],INDIRECT("MTBF_"&amp;$P$1&amp;"[Week]"),INDIRECT("MTBF_"&amp;$P$1&amp;"[Productive time '[hrs']]"),0,0)+_xlfn.XLOOKUP(MTBF_RoW[[#This Row],[Week]],INDIRECT("MTBF_"&amp;$Q$1&amp;"[Week]"),INDIRECT("MTBF_"&amp;$Q$1&amp;"[Productive time '[hrs']]"),0,0)</f>
        <v>#REF!</v>
      </c>
      <c r="R8" s="93" t="e" cm="1">
        <f t="array" aca="1" ref="R8" ca="1">_xlfn.XLOOKUP(MTBF_RoW[[#This Row],[Week]],INDIRECT("MTBF_"&amp;$P$1&amp;"[Week]"),INDIRECT("MTBF_"&amp;$P$1&amp;"[Uptime '[hrs']]"),0,0)+_xlfn.XLOOKUP(MTBF_RoW[[#This Row],[Week]],INDIRECT("MTBF_"&amp;$Q$1&amp;"[Week]"),INDIRECT("MTBF_"&amp;$Q$1&amp;"[Uptime '[hrs']]"),0,0)</f>
        <v>#REF!</v>
      </c>
      <c r="S8" s="89" t="e" cm="1">
        <f t="array" aca="1" ref="S8" ca="1">_xlfn.XLOOKUP(MTBF_RoW[[#This Row],[Week]],INDIRECT("MTBF_"&amp;$P$1&amp;"[Week]"),INDIRECT("MTBF_"&amp;$P$1&amp;"[P hits]"),0,0)+_xlfn.XLOOKUP(MTBF_RoW[[#This Row],[Week]],INDIRECT("MTBF_"&amp;$Q$1&amp;"[Week]"),INDIRECT("MTBF_"&amp;$Q$1&amp;"[P hits]"),0,0)</f>
        <v>#REF!</v>
      </c>
      <c r="T8" s="89" t="e" cm="1">
        <f t="array" aca="1" ref="T8" ca="1">_xlfn.XLOOKUP(MTBF_RoW[[#This Row],[Week]],INDIRECT("MTBF_"&amp;$P$1&amp;"[Week]"),INDIRECT("MTBF_"&amp;$P$1&amp;"[U hits]"),0,0)+_xlfn.XLOOKUP(MTBF_RoW[[#This Row],[Week]],INDIRECT("MTBF_"&amp;$Q$1&amp;"[Week]"),INDIRECT("MTBF_"&amp;$Q$1&amp;"[U hits]"),0,0)</f>
        <v>#REF!</v>
      </c>
      <c r="U8" s="93" t="e">
        <f ca="1">IF(MTBF_RoW[[#This Row],[P hits]]=0,MTBF_RoW[[#This Row],[Productive time '[hrs']]],MTBF_RoW[[#This Row],[Productive time '[hrs']]]/MTBF_RoW[[#This Row],[P hits]])</f>
        <v>#REF!</v>
      </c>
      <c r="V8" s="93" t="e">
        <f ca="1">IF(SUM(S8)=0,SUM(Q8),SUM(Q8)/SUM(S8))</f>
        <v>#REF!</v>
      </c>
      <c r="W8" s="93"/>
      <c r="X8" s="93" t="e">
        <f ca="1">IF(MTBF_RoW[[#This Row],[U hits]]=0,MTBF_RoW[[#This Row],[Uptime '[hrs']]],MTBF_RoW[[#This Row],[Uptime '[hrs']]]/MTBF_RoW[[#This Row],[U hits]])</f>
        <v>#REF!</v>
      </c>
      <c r="Y8" s="93" t="e">
        <f ca="1">IF(SUM(T8)=0,SUM(R8),SUM(R8)/SUM(T8))</f>
        <v>#REF!</v>
      </c>
      <c r="Z8" s="93"/>
      <c r="AC8" s="89">
        <v>2430</v>
      </c>
      <c r="AD8" s="89" t="str">
        <f>"wk"&amp;AC8</f>
        <v>wk2430</v>
      </c>
      <c r="AE8" s="93">
        <f ca="1">MTBF_customer_ROW[[#This Row],[MTBFp 1wma]]</f>
        <v>0</v>
      </c>
      <c r="AF8" s="93">
        <f ca="1">MTBF_customer_ROW[[#This Row],[MTBFp 4wma]]</f>
        <v>0</v>
      </c>
      <c r="AG8" s="93" t="e">
        <f ca="1">IF(MTBF_customer_ROW[[#This Row],[MTBFp 13wma]]=0,NA(),MTBF_customer_ROW[[#This Row],[MTBFp 13wma]])</f>
        <v>#N/A</v>
      </c>
      <c r="AH8" s="93" t="e">
        <f ca="1">MTBF_RoW[[#This Row],[MTBFp 1wma]]</f>
        <v>#REF!</v>
      </c>
      <c r="AI8" s="93" t="e">
        <f ca="1">MTBF_RoW[[#This Row],[MTBFp 4wma]]</f>
        <v>#REF!</v>
      </c>
      <c r="AJ8" s="93" t="e">
        <f>IF(MTBF_RoW[[#This Row],[MTBFp 13wma]]=0,NA(),MTBF_RoW[[#This Row],[MTBFp 13wma]])</f>
        <v>#N/A</v>
      </c>
    </row>
    <row r="9" spans="1:36">
      <c r="A9" s="89">
        <v>2431</v>
      </c>
      <c r="B9" s="89" t="str">
        <f>"wk"&amp;MTBF_customer_ROW[[#This Row],[Week]]</f>
        <v>wk2431</v>
      </c>
      <c r="C9" s="93" cm="1">
        <f t="array" aca="1" ref="C9" ca="1">_xlfn.XLOOKUP(MTBF_customer_ROW[[#This Row],[Week]],INDIRECT("MTBF_"&amp;$B$1&amp;"[Week]"),INDIRECT("MTBF_"&amp;$B$1&amp;"[Productive time '[hrs']]"),0,0)</f>
        <v>0</v>
      </c>
      <c r="D9" s="93" cm="1">
        <f t="array" aca="1" ref="D9" ca="1">_xlfn.XLOOKUP(MTBF_customer_ROW[[#This Row],[Week]],INDIRECT("MTBF_"&amp;$B$1&amp;"[Week]"),INDIRECT("MTBF_"&amp;$B$1&amp;"[Uptime '[hrs']]"),0,0)</f>
        <v>0</v>
      </c>
      <c r="E9" s="89" cm="1">
        <f t="array" aca="1" ref="E9" ca="1">_xlfn.XLOOKUP(MTBF_customer_ROW[[#This Row],[Week]],INDIRECT("MTBF_"&amp;$B$1&amp;"[Week]"),INDIRECT("MTBF_"&amp;$B$1&amp;"[P hits]"),0,0)</f>
        <v>0</v>
      </c>
      <c r="F9" s="89" cm="1">
        <f t="array" aca="1" ref="F9" ca="1">_xlfn.XLOOKUP(MTBF_customer_ROW[[#This Row],[Week]],INDIRECT("MTBF_"&amp;$B$1&amp;"[Week]"),INDIRECT("MTBF_"&amp;$B$1&amp;"[U hits]"),0,0)</f>
        <v>0</v>
      </c>
      <c r="G9" s="93" cm="1">
        <f t="array" aca="1" ref="G9" ca="1">_xlfn.XLOOKUP(MTBF_customer_ROW[[#This Row],[Week]],INDIRECT("MTBF_"&amp;$B$1&amp;"[Week]"),INDIRECT("MTBF_"&amp;$B$1&amp;"[MTBFp 1wma]"),0,0)</f>
        <v>0</v>
      </c>
      <c r="H9" s="95" cm="1">
        <f t="array" aca="1" ref="H9" ca="1">_xlfn.XLOOKUP(MTBF_customer_ROW[[#This Row],[Week]],INDIRECT("MTBF_"&amp;$B$1&amp;"[Week]"),INDIRECT("MTBF_"&amp;$B$1&amp;"[MTBFp 4wma]"),0,0)</f>
        <v>0</v>
      </c>
      <c r="I9" s="95" cm="1">
        <f t="array" aca="1" ref="I9" ca="1">_xlfn.XLOOKUP(MTBF_customer_ROW[[#This Row],[Week]],INDIRECT("MTBF_"&amp;$B$1&amp;"[Week]"),INDIRECT("MTBF_"&amp;$B$1&amp;"[MTBFp 13wma]"),0,0)</f>
        <v>0</v>
      </c>
      <c r="J9" s="93" cm="1">
        <f t="array" aca="1" ref="J9" ca="1">_xlfn.XLOOKUP(MTBF_customer_ROW[[#This Row],[Week]],INDIRECT("MTBF_"&amp;$B$1&amp;"[Week]"),INDIRECT("MTBF_"&amp;$B$1&amp;"[MTBFu 1wma]"),0,0)</f>
        <v>0</v>
      </c>
      <c r="K9" s="95" cm="1">
        <f t="array" aca="1" ref="K9" ca="1">_xlfn.XLOOKUP(MTBF_customer_ROW[[#This Row],[Week]],INDIRECT("MTBF_"&amp;$B$1&amp;"[Week]"),INDIRECT("MTBF_"&amp;$B$1&amp;"[MTBFu 4wma]"),0,0)</f>
        <v>0</v>
      </c>
      <c r="L9" s="95" cm="1">
        <f t="array" aca="1" ref="L9" ca="1">_xlfn.XLOOKUP(MTBF_customer_ROW[[#This Row],[Week]],INDIRECT("MTBF_"&amp;$B$1&amp;"[Week]"),INDIRECT("MTBF_"&amp;$B$1&amp;"[MTBFu 13wma]"),0,0)</f>
        <v>0</v>
      </c>
      <c r="O9" s="89">
        <v>2431</v>
      </c>
      <c r="P9" s="89" t="str">
        <f>"wk"&amp;MTBF_RoW[[#This Row],[Week]]</f>
        <v>wk2431</v>
      </c>
      <c r="Q9" s="93" t="e" cm="1">
        <f t="array" aca="1" ref="Q9" ca="1">_xlfn.XLOOKUP(MTBF_RoW[[#This Row],[Week]],INDIRECT("MTBF_"&amp;$P$1&amp;"[Week]"),INDIRECT("MTBF_"&amp;$P$1&amp;"[Productive time '[hrs']]"),0,0)+_xlfn.XLOOKUP(MTBF_RoW[[#This Row],[Week]],INDIRECT("MTBF_"&amp;$Q$1&amp;"[Week]"),INDIRECT("MTBF_"&amp;$Q$1&amp;"[Productive time '[hrs']]"),0,0)</f>
        <v>#REF!</v>
      </c>
      <c r="R9" s="93" t="e" cm="1">
        <f t="array" aca="1" ref="R9" ca="1">_xlfn.XLOOKUP(MTBF_RoW[[#This Row],[Week]],INDIRECT("MTBF_"&amp;$P$1&amp;"[Week]"),INDIRECT("MTBF_"&amp;$P$1&amp;"[Uptime '[hrs']]"),0,0)+_xlfn.XLOOKUP(MTBF_RoW[[#This Row],[Week]],INDIRECT("MTBF_"&amp;$Q$1&amp;"[Week]"),INDIRECT("MTBF_"&amp;$Q$1&amp;"[Uptime '[hrs']]"),0,0)</f>
        <v>#REF!</v>
      </c>
      <c r="S9" s="89" t="e" cm="1">
        <f t="array" aca="1" ref="S9" ca="1">_xlfn.XLOOKUP(MTBF_RoW[[#This Row],[Week]],INDIRECT("MTBF_"&amp;$P$1&amp;"[Week]"),INDIRECT("MTBF_"&amp;$P$1&amp;"[P hits]"),0,0)+_xlfn.XLOOKUP(MTBF_RoW[[#This Row],[Week]],INDIRECT("MTBF_"&amp;$Q$1&amp;"[Week]"),INDIRECT("MTBF_"&amp;$Q$1&amp;"[P hits]"),0,0)</f>
        <v>#REF!</v>
      </c>
      <c r="T9" s="89" t="e" cm="1">
        <f t="array" aca="1" ref="T9" ca="1">_xlfn.XLOOKUP(MTBF_RoW[[#This Row],[Week]],INDIRECT("MTBF_"&amp;$P$1&amp;"[Week]"),INDIRECT("MTBF_"&amp;$P$1&amp;"[U hits]"),0,0)+_xlfn.XLOOKUP(MTBF_RoW[[#This Row],[Week]],INDIRECT("MTBF_"&amp;$Q$1&amp;"[Week]"),INDIRECT("MTBF_"&amp;$Q$1&amp;"[U hits]"),0,0)</f>
        <v>#REF!</v>
      </c>
      <c r="U9" s="93" t="e">
        <f ca="1">IF(MTBF_RoW[[#This Row],[P hits]]=0,MTBF_RoW[[#This Row],[Productive time '[hrs']]],MTBF_RoW[[#This Row],[Productive time '[hrs']]]/MTBF_RoW[[#This Row],[P hits]])</f>
        <v>#REF!</v>
      </c>
      <c r="V9" s="93" t="e">
        <f t="shared" ref="V9:V21" ca="1" si="0">IF(SUM(S6:S9)=0,SUM(Q6:Q9),SUM(Q6:Q9)/SUM(S6:S9))</f>
        <v>#REF!</v>
      </c>
      <c r="W9" s="93"/>
      <c r="X9" s="93" t="e">
        <f ca="1">IF(MTBF_RoW[[#This Row],[U hits]]=0,MTBF_RoW[[#This Row],[Uptime '[hrs']]],MTBF_RoW[[#This Row],[Uptime '[hrs']]]/MTBF_RoW[[#This Row],[U hits]])</f>
        <v>#REF!</v>
      </c>
      <c r="Y9" s="93" t="e">
        <f t="shared" ref="Y9:Y21" ca="1" si="1">IF(SUM(T6:T9)=0,SUM(R6:R9),SUM(R6:R9)/SUM(T6:T9))</f>
        <v>#REF!</v>
      </c>
      <c r="Z9" s="93"/>
      <c r="AC9" s="89">
        <v>2431</v>
      </c>
      <c r="AD9" s="89" t="str">
        <f t="shared" ref="AD9:AD21" si="2">"wk"&amp;AC9</f>
        <v>wk2431</v>
      </c>
      <c r="AE9" s="93">
        <f ca="1">MTBF_customer_ROW[[#This Row],[MTBFp 1wma]]</f>
        <v>0</v>
      </c>
      <c r="AF9" s="93">
        <f ca="1">MTBF_customer_ROW[[#This Row],[MTBFp 4wma]]</f>
        <v>0</v>
      </c>
      <c r="AG9" s="93" t="e">
        <f ca="1">IF(MTBF_customer_ROW[[#This Row],[MTBFp 13wma]]=0,NA(),MTBF_customer_ROW[[#This Row],[MTBFp 13wma]])</f>
        <v>#N/A</v>
      </c>
      <c r="AH9" s="93" t="e">
        <f ca="1">MTBF_RoW[[#This Row],[MTBFp 1wma]]</f>
        <v>#REF!</v>
      </c>
      <c r="AI9" s="93" t="e">
        <f ca="1">MTBF_RoW[[#This Row],[MTBFp 4wma]]</f>
        <v>#REF!</v>
      </c>
      <c r="AJ9" s="93" t="e">
        <f>IF(MTBF_RoW[[#This Row],[MTBFp 13wma]]=0,NA(),MTBF_RoW[[#This Row],[MTBFp 13wma]])</f>
        <v>#N/A</v>
      </c>
    </row>
    <row r="10" spans="1:36">
      <c r="A10" s="89">
        <v>2432</v>
      </c>
      <c r="B10" s="89" t="str">
        <f>"wk"&amp;MTBF_customer_ROW[[#This Row],[Week]]</f>
        <v>wk2432</v>
      </c>
      <c r="C10" s="93" cm="1">
        <f t="array" aca="1" ref="C10" ca="1">_xlfn.XLOOKUP(MTBF_customer_ROW[[#This Row],[Week]],INDIRECT("MTBF_"&amp;$B$1&amp;"[Week]"),INDIRECT("MTBF_"&amp;$B$1&amp;"[Productive time '[hrs']]"),0,0)</f>
        <v>0</v>
      </c>
      <c r="D10" s="93" cm="1">
        <f t="array" aca="1" ref="D10" ca="1">_xlfn.XLOOKUP(MTBF_customer_ROW[[#This Row],[Week]],INDIRECT("MTBF_"&amp;$B$1&amp;"[Week]"),INDIRECT("MTBF_"&amp;$B$1&amp;"[Uptime '[hrs']]"),0,0)</f>
        <v>0</v>
      </c>
      <c r="E10" s="89" cm="1">
        <f t="array" aca="1" ref="E10" ca="1">_xlfn.XLOOKUP(MTBF_customer_ROW[[#This Row],[Week]],INDIRECT("MTBF_"&amp;$B$1&amp;"[Week]"),INDIRECT("MTBF_"&amp;$B$1&amp;"[P hits]"),0,0)</f>
        <v>0</v>
      </c>
      <c r="F10" s="89" cm="1">
        <f t="array" aca="1" ref="F10" ca="1">_xlfn.XLOOKUP(MTBF_customer_ROW[[#This Row],[Week]],INDIRECT("MTBF_"&amp;$B$1&amp;"[Week]"),INDIRECT("MTBF_"&amp;$B$1&amp;"[U hits]"),0,0)</f>
        <v>0</v>
      </c>
      <c r="G10" s="93" cm="1">
        <f t="array" aca="1" ref="G10" ca="1">_xlfn.XLOOKUP(MTBF_customer_ROW[[#This Row],[Week]],INDIRECT("MTBF_"&amp;$B$1&amp;"[Week]"),INDIRECT("MTBF_"&amp;$B$1&amp;"[MTBFp 1wma]"),0,0)</f>
        <v>0</v>
      </c>
      <c r="H10" s="95" cm="1">
        <f t="array" aca="1" ref="H10" ca="1">_xlfn.XLOOKUP(MTBF_customer_ROW[[#This Row],[Week]],INDIRECT("MTBF_"&amp;$B$1&amp;"[Week]"),INDIRECT("MTBF_"&amp;$B$1&amp;"[MTBFp 4wma]"),0,0)</f>
        <v>0</v>
      </c>
      <c r="I10" s="95" cm="1">
        <f t="array" aca="1" ref="I10" ca="1">_xlfn.XLOOKUP(MTBF_customer_ROW[[#This Row],[Week]],INDIRECT("MTBF_"&amp;$B$1&amp;"[Week]"),INDIRECT("MTBF_"&amp;$B$1&amp;"[MTBFp 13wma]"),0,0)</f>
        <v>0</v>
      </c>
      <c r="J10" s="93" cm="1">
        <f t="array" aca="1" ref="J10" ca="1">_xlfn.XLOOKUP(MTBF_customer_ROW[[#This Row],[Week]],INDIRECT("MTBF_"&amp;$B$1&amp;"[Week]"),INDIRECT("MTBF_"&amp;$B$1&amp;"[MTBFu 1wma]"),0,0)</f>
        <v>0</v>
      </c>
      <c r="K10" s="95" cm="1">
        <f t="array" aca="1" ref="K10" ca="1">_xlfn.XLOOKUP(MTBF_customer_ROW[[#This Row],[Week]],INDIRECT("MTBF_"&amp;$B$1&amp;"[Week]"),INDIRECT("MTBF_"&amp;$B$1&amp;"[MTBFu 4wma]"),0,0)</f>
        <v>0</v>
      </c>
      <c r="L10" s="95" cm="1">
        <f t="array" aca="1" ref="L10" ca="1">_xlfn.XLOOKUP(MTBF_customer_ROW[[#This Row],[Week]],INDIRECT("MTBF_"&amp;$B$1&amp;"[Week]"),INDIRECT("MTBF_"&amp;$B$1&amp;"[MTBFu 13wma]"),0,0)</f>
        <v>0</v>
      </c>
      <c r="O10" s="89">
        <v>2432</v>
      </c>
      <c r="P10" s="89" t="str">
        <f>"wk"&amp;MTBF_RoW[[#This Row],[Week]]</f>
        <v>wk2432</v>
      </c>
      <c r="Q10" s="93" t="e" cm="1">
        <f t="array" aca="1" ref="Q10" ca="1">_xlfn.XLOOKUP(MTBF_RoW[[#This Row],[Week]],INDIRECT("MTBF_"&amp;$P$1&amp;"[Week]"),INDIRECT("MTBF_"&amp;$P$1&amp;"[Productive time '[hrs']]"),0,0)+_xlfn.XLOOKUP(MTBF_RoW[[#This Row],[Week]],INDIRECT("MTBF_"&amp;$Q$1&amp;"[Week]"),INDIRECT("MTBF_"&amp;$Q$1&amp;"[Productive time '[hrs']]"),0,0)</f>
        <v>#REF!</v>
      </c>
      <c r="R10" s="93" t="e" cm="1">
        <f t="array" aca="1" ref="R10" ca="1">_xlfn.XLOOKUP(MTBF_RoW[[#This Row],[Week]],INDIRECT("MTBF_"&amp;$P$1&amp;"[Week]"),INDIRECT("MTBF_"&amp;$P$1&amp;"[Uptime '[hrs']]"),0,0)+_xlfn.XLOOKUP(MTBF_RoW[[#This Row],[Week]],INDIRECT("MTBF_"&amp;$Q$1&amp;"[Week]"),INDIRECT("MTBF_"&amp;$Q$1&amp;"[Uptime '[hrs']]"),0,0)</f>
        <v>#REF!</v>
      </c>
      <c r="S10" s="89" t="e" cm="1">
        <f t="array" aca="1" ref="S10" ca="1">_xlfn.XLOOKUP(MTBF_RoW[[#This Row],[Week]],INDIRECT("MTBF_"&amp;$P$1&amp;"[Week]"),INDIRECT("MTBF_"&amp;$P$1&amp;"[P hits]"),0,0)+_xlfn.XLOOKUP(MTBF_RoW[[#This Row],[Week]],INDIRECT("MTBF_"&amp;$Q$1&amp;"[Week]"),INDIRECT("MTBF_"&amp;$Q$1&amp;"[P hits]"),0,0)</f>
        <v>#REF!</v>
      </c>
      <c r="T10" s="89" t="e" cm="1">
        <f t="array" aca="1" ref="T10" ca="1">_xlfn.XLOOKUP(MTBF_RoW[[#This Row],[Week]],INDIRECT("MTBF_"&amp;$P$1&amp;"[Week]"),INDIRECT("MTBF_"&amp;$P$1&amp;"[U hits]"),0,0)+_xlfn.XLOOKUP(MTBF_RoW[[#This Row],[Week]],INDIRECT("MTBF_"&amp;$Q$1&amp;"[Week]"),INDIRECT("MTBF_"&amp;$Q$1&amp;"[U hits]"),0,0)</f>
        <v>#REF!</v>
      </c>
      <c r="U10" s="93" t="e">
        <f ca="1">IF(MTBF_RoW[[#This Row],[P hits]]=0,MTBF_RoW[[#This Row],[Productive time '[hrs']]],MTBF_RoW[[#This Row],[Productive time '[hrs']]]/MTBF_RoW[[#This Row],[P hits]])</f>
        <v>#REF!</v>
      </c>
      <c r="V10" s="93" t="e">
        <f t="shared" ca="1" si="0"/>
        <v>#REF!</v>
      </c>
      <c r="W10" s="93"/>
      <c r="X10" s="93" t="e">
        <f ca="1">IF(MTBF_RoW[[#This Row],[U hits]]=0,MTBF_RoW[[#This Row],[Uptime '[hrs']]],MTBF_RoW[[#This Row],[Uptime '[hrs']]]/MTBF_RoW[[#This Row],[U hits]])</f>
        <v>#REF!</v>
      </c>
      <c r="Y10" s="93" t="e">
        <f t="shared" ca="1" si="1"/>
        <v>#REF!</v>
      </c>
      <c r="Z10" s="93"/>
      <c r="AC10" s="89">
        <v>2432</v>
      </c>
      <c r="AD10" s="89" t="str">
        <f t="shared" si="2"/>
        <v>wk2432</v>
      </c>
      <c r="AE10" s="93">
        <f ca="1">MTBF_customer_ROW[[#This Row],[MTBFp 1wma]]</f>
        <v>0</v>
      </c>
      <c r="AF10" s="93">
        <f ca="1">MTBF_customer_ROW[[#This Row],[MTBFp 4wma]]</f>
        <v>0</v>
      </c>
      <c r="AG10" s="93" t="e">
        <f ca="1">IF(MTBF_customer_ROW[[#This Row],[MTBFp 13wma]]=0,NA(),MTBF_customer_ROW[[#This Row],[MTBFp 13wma]])</f>
        <v>#N/A</v>
      </c>
      <c r="AH10" s="93" t="e">
        <f ca="1">MTBF_RoW[[#This Row],[MTBFp 1wma]]</f>
        <v>#REF!</v>
      </c>
      <c r="AI10" s="93" t="e">
        <f ca="1">MTBF_RoW[[#This Row],[MTBFp 4wma]]</f>
        <v>#REF!</v>
      </c>
      <c r="AJ10" s="93" t="e">
        <f>IF(MTBF_RoW[[#This Row],[MTBFp 13wma]]=0,NA(),MTBF_RoW[[#This Row],[MTBFp 13wma]])</f>
        <v>#N/A</v>
      </c>
    </row>
    <row r="11" spans="1:36">
      <c r="A11" s="89">
        <v>2433</v>
      </c>
      <c r="B11" s="89" t="str">
        <f>"wk"&amp;MTBF_customer_ROW[[#This Row],[Week]]</f>
        <v>wk2433</v>
      </c>
      <c r="C11" s="93" cm="1">
        <f t="array" aca="1" ref="C11" ca="1">_xlfn.XLOOKUP(MTBF_customer_ROW[[#This Row],[Week]],INDIRECT("MTBF_"&amp;$B$1&amp;"[Week]"),INDIRECT("MTBF_"&amp;$B$1&amp;"[Productive time '[hrs']]"),0,0)</f>
        <v>0</v>
      </c>
      <c r="D11" s="93" cm="1">
        <f t="array" aca="1" ref="D11" ca="1">_xlfn.XLOOKUP(MTBF_customer_ROW[[#This Row],[Week]],INDIRECT("MTBF_"&amp;$B$1&amp;"[Week]"),INDIRECT("MTBF_"&amp;$B$1&amp;"[Uptime '[hrs']]"),0,0)</f>
        <v>0</v>
      </c>
      <c r="E11" s="89" cm="1">
        <f t="array" aca="1" ref="E11" ca="1">_xlfn.XLOOKUP(MTBF_customer_ROW[[#This Row],[Week]],INDIRECT("MTBF_"&amp;$B$1&amp;"[Week]"),INDIRECT("MTBF_"&amp;$B$1&amp;"[P hits]"),0,0)</f>
        <v>0</v>
      </c>
      <c r="F11" s="89" cm="1">
        <f t="array" aca="1" ref="F11" ca="1">_xlfn.XLOOKUP(MTBF_customer_ROW[[#This Row],[Week]],INDIRECT("MTBF_"&amp;$B$1&amp;"[Week]"),INDIRECT("MTBF_"&amp;$B$1&amp;"[U hits]"),0,0)</f>
        <v>0</v>
      </c>
      <c r="G11" s="93" cm="1">
        <f t="array" aca="1" ref="G11" ca="1">_xlfn.XLOOKUP(MTBF_customer_ROW[[#This Row],[Week]],INDIRECT("MTBF_"&amp;$B$1&amp;"[Week]"),INDIRECT("MTBF_"&amp;$B$1&amp;"[MTBFp 1wma]"),0,0)</f>
        <v>0</v>
      </c>
      <c r="H11" s="95" cm="1">
        <f t="array" aca="1" ref="H11" ca="1">_xlfn.XLOOKUP(MTBF_customer_ROW[[#This Row],[Week]],INDIRECT("MTBF_"&amp;$B$1&amp;"[Week]"),INDIRECT("MTBF_"&amp;$B$1&amp;"[MTBFp 4wma]"),0,0)</f>
        <v>0</v>
      </c>
      <c r="I11" s="95" cm="1">
        <f t="array" aca="1" ref="I11" ca="1">_xlfn.XLOOKUP(MTBF_customer_ROW[[#This Row],[Week]],INDIRECT("MTBF_"&amp;$B$1&amp;"[Week]"),INDIRECT("MTBF_"&amp;$B$1&amp;"[MTBFp 13wma]"),0,0)</f>
        <v>0</v>
      </c>
      <c r="J11" s="93" cm="1">
        <f t="array" aca="1" ref="J11" ca="1">_xlfn.XLOOKUP(MTBF_customer_ROW[[#This Row],[Week]],INDIRECT("MTBF_"&amp;$B$1&amp;"[Week]"),INDIRECT("MTBF_"&amp;$B$1&amp;"[MTBFu 1wma]"),0,0)</f>
        <v>0</v>
      </c>
      <c r="K11" s="95" cm="1">
        <f t="array" aca="1" ref="K11" ca="1">_xlfn.XLOOKUP(MTBF_customer_ROW[[#This Row],[Week]],INDIRECT("MTBF_"&amp;$B$1&amp;"[Week]"),INDIRECT("MTBF_"&amp;$B$1&amp;"[MTBFu 4wma]"),0,0)</f>
        <v>0</v>
      </c>
      <c r="L11" s="95" cm="1">
        <f t="array" aca="1" ref="L11" ca="1">_xlfn.XLOOKUP(MTBF_customer_ROW[[#This Row],[Week]],INDIRECT("MTBF_"&amp;$B$1&amp;"[Week]"),INDIRECT("MTBF_"&amp;$B$1&amp;"[MTBFu 13wma]"),0,0)</f>
        <v>0</v>
      </c>
      <c r="O11" s="89">
        <v>2433</v>
      </c>
      <c r="P11" s="89" t="str">
        <f>"wk"&amp;MTBF_RoW[[#This Row],[Week]]</f>
        <v>wk2433</v>
      </c>
      <c r="Q11" s="93" t="e" cm="1">
        <f t="array" aca="1" ref="Q11" ca="1">_xlfn.XLOOKUP(MTBF_RoW[[#This Row],[Week]],INDIRECT("MTBF_"&amp;$P$1&amp;"[Week]"),INDIRECT("MTBF_"&amp;$P$1&amp;"[Productive time '[hrs']]"),0,0)+_xlfn.XLOOKUP(MTBF_RoW[[#This Row],[Week]],INDIRECT("MTBF_"&amp;$Q$1&amp;"[Week]"),INDIRECT("MTBF_"&amp;$Q$1&amp;"[Productive time '[hrs']]"),0,0)</f>
        <v>#REF!</v>
      </c>
      <c r="R11" s="93" t="e" cm="1">
        <f t="array" aca="1" ref="R11" ca="1">_xlfn.XLOOKUP(MTBF_RoW[[#This Row],[Week]],INDIRECT("MTBF_"&amp;$P$1&amp;"[Week]"),INDIRECT("MTBF_"&amp;$P$1&amp;"[Uptime '[hrs']]"),0,0)+_xlfn.XLOOKUP(MTBF_RoW[[#This Row],[Week]],INDIRECT("MTBF_"&amp;$Q$1&amp;"[Week]"),INDIRECT("MTBF_"&amp;$Q$1&amp;"[Uptime '[hrs']]"),0,0)</f>
        <v>#REF!</v>
      </c>
      <c r="S11" s="89" t="e" cm="1">
        <f t="array" aca="1" ref="S11" ca="1">_xlfn.XLOOKUP(MTBF_RoW[[#This Row],[Week]],INDIRECT("MTBF_"&amp;$P$1&amp;"[Week]"),INDIRECT("MTBF_"&amp;$P$1&amp;"[P hits]"),0,0)+_xlfn.XLOOKUP(MTBF_RoW[[#This Row],[Week]],INDIRECT("MTBF_"&amp;$Q$1&amp;"[Week]"),INDIRECT("MTBF_"&amp;$Q$1&amp;"[P hits]"),0,0)</f>
        <v>#REF!</v>
      </c>
      <c r="T11" s="89" t="e" cm="1">
        <f t="array" aca="1" ref="T11" ca="1">_xlfn.XLOOKUP(MTBF_RoW[[#This Row],[Week]],INDIRECT("MTBF_"&amp;$P$1&amp;"[Week]"),INDIRECT("MTBF_"&amp;$P$1&amp;"[U hits]"),0,0)+_xlfn.XLOOKUP(MTBF_RoW[[#This Row],[Week]],INDIRECT("MTBF_"&amp;$Q$1&amp;"[Week]"),INDIRECT("MTBF_"&amp;$Q$1&amp;"[U hits]"),0,0)</f>
        <v>#REF!</v>
      </c>
      <c r="U11" s="93" t="e">
        <f ca="1">IF(MTBF_RoW[[#This Row],[P hits]]=0,MTBF_RoW[[#This Row],[Productive time '[hrs']]],MTBF_RoW[[#This Row],[Productive time '[hrs']]]/MTBF_RoW[[#This Row],[P hits]])</f>
        <v>#REF!</v>
      </c>
      <c r="V11" s="93" t="e">
        <f t="shared" ca="1" si="0"/>
        <v>#REF!</v>
      </c>
      <c r="W11" s="93"/>
      <c r="X11" s="93" t="e">
        <f ca="1">IF(MTBF_RoW[[#This Row],[U hits]]=0,MTBF_RoW[[#This Row],[Uptime '[hrs']]],MTBF_RoW[[#This Row],[Uptime '[hrs']]]/MTBF_RoW[[#This Row],[U hits]])</f>
        <v>#REF!</v>
      </c>
      <c r="Y11" s="93" t="e">
        <f t="shared" ca="1" si="1"/>
        <v>#REF!</v>
      </c>
      <c r="Z11" s="93"/>
      <c r="AC11" s="89">
        <v>2433</v>
      </c>
      <c r="AD11" s="89" t="str">
        <f t="shared" si="2"/>
        <v>wk2433</v>
      </c>
      <c r="AE11" s="93">
        <f ca="1">MTBF_customer_ROW[[#This Row],[MTBFp 1wma]]</f>
        <v>0</v>
      </c>
      <c r="AF11" s="93">
        <f ca="1">MTBF_customer_ROW[[#This Row],[MTBFp 4wma]]</f>
        <v>0</v>
      </c>
      <c r="AG11" s="93" t="e">
        <f ca="1">IF(MTBF_customer_ROW[[#This Row],[MTBFp 13wma]]=0,NA(),MTBF_customer_ROW[[#This Row],[MTBFp 13wma]])</f>
        <v>#N/A</v>
      </c>
      <c r="AH11" s="93" t="e">
        <f ca="1">MTBF_RoW[[#This Row],[MTBFp 1wma]]</f>
        <v>#REF!</v>
      </c>
      <c r="AI11" s="93" t="e">
        <f ca="1">MTBF_RoW[[#This Row],[MTBFp 4wma]]</f>
        <v>#REF!</v>
      </c>
      <c r="AJ11" s="93" t="e">
        <f>IF(MTBF_RoW[[#This Row],[MTBFp 13wma]]=0,NA(),MTBF_RoW[[#This Row],[MTBFp 13wma]])</f>
        <v>#N/A</v>
      </c>
    </row>
    <row r="12" spans="1:36">
      <c r="A12" s="89">
        <v>2434</v>
      </c>
      <c r="B12" s="89" t="str">
        <f>"wk"&amp;MTBF_customer_ROW[[#This Row],[Week]]</f>
        <v>wk2434</v>
      </c>
      <c r="C12" s="93" cm="1">
        <f t="array" aca="1" ref="C12" ca="1">_xlfn.XLOOKUP(MTBF_customer_ROW[[#This Row],[Week]],INDIRECT("MTBF_"&amp;$B$1&amp;"[Week]"),INDIRECT("MTBF_"&amp;$B$1&amp;"[Productive time '[hrs']]"),0,0)</f>
        <v>0</v>
      </c>
      <c r="D12" s="93" cm="1">
        <f t="array" aca="1" ref="D12" ca="1">_xlfn.XLOOKUP(MTBF_customer_ROW[[#This Row],[Week]],INDIRECT("MTBF_"&amp;$B$1&amp;"[Week]"),INDIRECT("MTBF_"&amp;$B$1&amp;"[Uptime '[hrs']]"),0,0)</f>
        <v>0</v>
      </c>
      <c r="E12" s="89" cm="1">
        <f t="array" aca="1" ref="E12" ca="1">_xlfn.XLOOKUP(MTBF_customer_ROW[[#This Row],[Week]],INDIRECT("MTBF_"&amp;$B$1&amp;"[Week]"),INDIRECT("MTBF_"&amp;$B$1&amp;"[P hits]"),0,0)</f>
        <v>0</v>
      </c>
      <c r="F12" s="89" cm="1">
        <f t="array" aca="1" ref="F12" ca="1">_xlfn.XLOOKUP(MTBF_customer_ROW[[#This Row],[Week]],INDIRECT("MTBF_"&amp;$B$1&amp;"[Week]"),INDIRECT("MTBF_"&amp;$B$1&amp;"[U hits]"),0,0)</f>
        <v>0</v>
      </c>
      <c r="G12" s="93" cm="1">
        <f t="array" aca="1" ref="G12" ca="1">_xlfn.XLOOKUP(MTBF_customer_ROW[[#This Row],[Week]],INDIRECT("MTBF_"&amp;$B$1&amp;"[Week]"),INDIRECT("MTBF_"&amp;$B$1&amp;"[MTBFp 1wma]"),0,0)</f>
        <v>0</v>
      </c>
      <c r="H12" s="95" cm="1">
        <f t="array" aca="1" ref="H12" ca="1">_xlfn.XLOOKUP(MTBF_customer_ROW[[#This Row],[Week]],INDIRECT("MTBF_"&amp;$B$1&amp;"[Week]"),INDIRECT("MTBF_"&amp;$B$1&amp;"[MTBFp 4wma]"),0,0)</f>
        <v>0</v>
      </c>
      <c r="I12" s="95" cm="1">
        <f t="array" aca="1" ref="I12" ca="1">_xlfn.XLOOKUP(MTBF_customer_ROW[[#This Row],[Week]],INDIRECT("MTBF_"&amp;$B$1&amp;"[Week]"),INDIRECT("MTBF_"&amp;$B$1&amp;"[MTBFp 13wma]"),0,0)</f>
        <v>0</v>
      </c>
      <c r="J12" s="93" cm="1">
        <f t="array" aca="1" ref="J12" ca="1">_xlfn.XLOOKUP(MTBF_customer_ROW[[#This Row],[Week]],INDIRECT("MTBF_"&amp;$B$1&amp;"[Week]"),INDIRECT("MTBF_"&amp;$B$1&amp;"[MTBFu 1wma]"),0,0)</f>
        <v>0</v>
      </c>
      <c r="K12" s="95" cm="1">
        <f t="array" aca="1" ref="K12" ca="1">_xlfn.XLOOKUP(MTBF_customer_ROW[[#This Row],[Week]],INDIRECT("MTBF_"&amp;$B$1&amp;"[Week]"),INDIRECT("MTBF_"&amp;$B$1&amp;"[MTBFu 4wma]"),0,0)</f>
        <v>0</v>
      </c>
      <c r="L12" s="95" cm="1">
        <f t="array" aca="1" ref="L12" ca="1">_xlfn.XLOOKUP(MTBF_customer_ROW[[#This Row],[Week]],INDIRECT("MTBF_"&amp;$B$1&amp;"[Week]"),INDIRECT("MTBF_"&amp;$B$1&amp;"[MTBFu 13wma]"),0,0)</f>
        <v>0</v>
      </c>
      <c r="O12" s="89">
        <v>2434</v>
      </c>
      <c r="P12" s="89" t="str">
        <f>"wk"&amp;MTBF_RoW[[#This Row],[Week]]</f>
        <v>wk2434</v>
      </c>
      <c r="Q12" s="93" t="e" cm="1">
        <f t="array" aca="1" ref="Q12" ca="1">_xlfn.XLOOKUP(MTBF_RoW[[#This Row],[Week]],INDIRECT("MTBF_"&amp;$P$1&amp;"[Week]"),INDIRECT("MTBF_"&amp;$P$1&amp;"[Productive time '[hrs']]"),0,0)+_xlfn.XLOOKUP(MTBF_RoW[[#This Row],[Week]],INDIRECT("MTBF_"&amp;$Q$1&amp;"[Week]"),INDIRECT("MTBF_"&amp;$Q$1&amp;"[Productive time '[hrs']]"),0,0)</f>
        <v>#REF!</v>
      </c>
      <c r="R12" s="93" t="e" cm="1">
        <f t="array" aca="1" ref="R12" ca="1">_xlfn.XLOOKUP(MTBF_RoW[[#This Row],[Week]],INDIRECT("MTBF_"&amp;$P$1&amp;"[Week]"),INDIRECT("MTBF_"&amp;$P$1&amp;"[Uptime '[hrs']]"),0,0)+_xlfn.XLOOKUP(MTBF_RoW[[#This Row],[Week]],INDIRECT("MTBF_"&amp;$Q$1&amp;"[Week]"),INDIRECT("MTBF_"&amp;$Q$1&amp;"[Uptime '[hrs']]"),0,0)</f>
        <v>#REF!</v>
      </c>
      <c r="S12" s="89" t="e" cm="1">
        <f t="array" aca="1" ref="S12" ca="1">_xlfn.XLOOKUP(MTBF_RoW[[#This Row],[Week]],INDIRECT("MTBF_"&amp;$P$1&amp;"[Week]"),INDIRECT("MTBF_"&amp;$P$1&amp;"[P hits]"),0,0)+_xlfn.XLOOKUP(MTBF_RoW[[#This Row],[Week]],INDIRECT("MTBF_"&amp;$Q$1&amp;"[Week]"),INDIRECT("MTBF_"&amp;$Q$1&amp;"[P hits]"),0,0)</f>
        <v>#REF!</v>
      </c>
      <c r="T12" s="89" t="e" cm="1">
        <f t="array" aca="1" ref="T12" ca="1">_xlfn.XLOOKUP(MTBF_RoW[[#This Row],[Week]],INDIRECT("MTBF_"&amp;$P$1&amp;"[Week]"),INDIRECT("MTBF_"&amp;$P$1&amp;"[U hits]"),0,0)+_xlfn.XLOOKUP(MTBF_RoW[[#This Row],[Week]],INDIRECT("MTBF_"&amp;$Q$1&amp;"[Week]"),INDIRECT("MTBF_"&amp;$Q$1&amp;"[U hits]"),0,0)</f>
        <v>#REF!</v>
      </c>
      <c r="U12" s="93" t="e">
        <f ca="1">IF(MTBF_RoW[[#This Row],[P hits]]=0,MTBF_RoW[[#This Row],[Productive time '[hrs']]],MTBF_RoW[[#This Row],[Productive time '[hrs']]]/MTBF_RoW[[#This Row],[P hits]])</f>
        <v>#REF!</v>
      </c>
      <c r="V12" s="93" t="e">
        <f t="shared" ca="1" si="0"/>
        <v>#REF!</v>
      </c>
      <c r="W12" s="93"/>
      <c r="X12" s="93" t="e">
        <f ca="1">IF(MTBF_RoW[[#This Row],[U hits]]=0,MTBF_RoW[[#This Row],[Uptime '[hrs']]],MTBF_RoW[[#This Row],[Uptime '[hrs']]]/MTBF_RoW[[#This Row],[U hits]])</f>
        <v>#REF!</v>
      </c>
      <c r="Y12" s="93" t="e">
        <f t="shared" ca="1" si="1"/>
        <v>#REF!</v>
      </c>
      <c r="Z12" s="93"/>
      <c r="AC12" s="89">
        <v>2434</v>
      </c>
      <c r="AD12" s="89" t="str">
        <f t="shared" si="2"/>
        <v>wk2434</v>
      </c>
      <c r="AE12" s="93">
        <f ca="1">MTBF_customer_ROW[[#This Row],[MTBFp 1wma]]</f>
        <v>0</v>
      </c>
      <c r="AF12" s="93">
        <f ca="1">MTBF_customer_ROW[[#This Row],[MTBFp 4wma]]</f>
        <v>0</v>
      </c>
      <c r="AG12" s="93" t="e">
        <f ca="1">IF(MTBF_customer_ROW[[#This Row],[MTBFp 13wma]]=0,NA(),MTBF_customer_ROW[[#This Row],[MTBFp 13wma]])</f>
        <v>#N/A</v>
      </c>
      <c r="AH12" s="93" t="e">
        <f ca="1">MTBF_RoW[[#This Row],[MTBFp 1wma]]</f>
        <v>#REF!</v>
      </c>
      <c r="AI12" s="93" t="e">
        <f ca="1">MTBF_RoW[[#This Row],[MTBFp 4wma]]</f>
        <v>#REF!</v>
      </c>
      <c r="AJ12" s="93" t="e">
        <f>IF(MTBF_RoW[[#This Row],[MTBFp 13wma]]=0,NA(),MTBF_RoW[[#This Row],[MTBFp 13wma]])</f>
        <v>#N/A</v>
      </c>
    </row>
    <row r="13" spans="1:36">
      <c r="A13" s="89">
        <v>2435</v>
      </c>
      <c r="B13" s="89" t="str">
        <f>"wk"&amp;MTBF_customer_ROW[[#This Row],[Week]]</f>
        <v>wk2435</v>
      </c>
      <c r="C13" s="93" cm="1">
        <f t="array" aca="1" ref="C13" ca="1">_xlfn.XLOOKUP(MTBF_customer_ROW[[#This Row],[Week]],INDIRECT("MTBF_"&amp;$B$1&amp;"[Week]"),INDIRECT("MTBF_"&amp;$B$1&amp;"[Productive time '[hrs']]"),0,0)</f>
        <v>0</v>
      </c>
      <c r="D13" s="93" cm="1">
        <f t="array" aca="1" ref="D13" ca="1">_xlfn.XLOOKUP(MTBF_customer_ROW[[#This Row],[Week]],INDIRECT("MTBF_"&amp;$B$1&amp;"[Week]"),INDIRECT("MTBF_"&amp;$B$1&amp;"[Uptime '[hrs']]"),0,0)</f>
        <v>0</v>
      </c>
      <c r="E13" s="89" cm="1">
        <f t="array" aca="1" ref="E13" ca="1">_xlfn.XLOOKUP(MTBF_customer_ROW[[#This Row],[Week]],INDIRECT("MTBF_"&amp;$B$1&amp;"[Week]"),INDIRECT("MTBF_"&amp;$B$1&amp;"[P hits]"),0,0)</f>
        <v>0</v>
      </c>
      <c r="F13" s="89" cm="1">
        <f t="array" aca="1" ref="F13" ca="1">_xlfn.XLOOKUP(MTBF_customer_ROW[[#This Row],[Week]],INDIRECT("MTBF_"&amp;$B$1&amp;"[Week]"),INDIRECT("MTBF_"&amp;$B$1&amp;"[U hits]"),0,0)</f>
        <v>0</v>
      </c>
      <c r="G13" s="95" cm="1">
        <f t="array" aca="1" ref="G13" ca="1">_xlfn.XLOOKUP(MTBF_customer_ROW[[#This Row],[Week]],INDIRECT("MTBF_"&amp;$B$1&amp;"[Week]"),INDIRECT("MTBF_"&amp;$B$1&amp;"[MTBFp 1wma]"),0,0)</f>
        <v>0</v>
      </c>
      <c r="H13" s="95" cm="1">
        <f t="array" aca="1" ref="H13" ca="1">_xlfn.XLOOKUP(MTBF_customer_ROW[[#This Row],[Week]],INDIRECT("MTBF_"&amp;$B$1&amp;"[Week]"),INDIRECT("MTBF_"&amp;$B$1&amp;"[MTBFp 4wma]"),0,0)</f>
        <v>0</v>
      </c>
      <c r="I13" s="95" cm="1">
        <f t="array" aca="1" ref="I13" ca="1">_xlfn.XLOOKUP(MTBF_customer_ROW[[#This Row],[Week]],INDIRECT("MTBF_"&amp;$B$1&amp;"[Week]"),INDIRECT("MTBF_"&amp;$B$1&amp;"[MTBFp 13wma]"),0,0)</f>
        <v>0</v>
      </c>
      <c r="J13" s="93" cm="1">
        <f t="array" aca="1" ref="J13" ca="1">_xlfn.XLOOKUP(MTBF_customer_ROW[[#This Row],[Week]],INDIRECT("MTBF_"&amp;$B$1&amp;"[Week]"),INDIRECT("MTBF_"&amp;$B$1&amp;"[MTBFu 1wma]"),0,0)</f>
        <v>0</v>
      </c>
      <c r="K13" s="95" cm="1">
        <f t="array" aca="1" ref="K13" ca="1">_xlfn.XLOOKUP(MTBF_customer_ROW[[#This Row],[Week]],INDIRECT("MTBF_"&amp;$B$1&amp;"[Week]"),INDIRECT("MTBF_"&amp;$B$1&amp;"[MTBFu 4wma]"),0,0)</f>
        <v>0</v>
      </c>
      <c r="L13" s="95" cm="1">
        <f t="array" aca="1" ref="L13" ca="1">_xlfn.XLOOKUP(MTBF_customer_ROW[[#This Row],[Week]],INDIRECT("MTBF_"&amp;$B$1&amp;"[Week]"),INDIRECT("MTBF_"&amp;$B$1&amp;"[MTBFu 13wma]"),0,0)</f>
        <v>0</v>
      </c>
      <c r="O13" s="89">
        <v>2435</v>
      </c>
      <c r="P13" s="89" t="str">
        <f>"wk"&amp;MTBF_RoW[[#This Row],[Week]]</f>
        <v>wk2435</v>
      </c>
      <c r="Q13" s="93" t="e" cm="1">
        <f t="array" aca="1" ref="Q13" ca="1">_xlfn.XLOOKUP(MTBF_RoW[[#This Row],[Week]],INDIRECT("MTBF_"&amp;$P$1&amp;"[Week]"),INDIRECT("MTBF_"&amp;$P$1&amp;"[Productive time '[hrs']]"),0,0)+_xlfn.XLOOKUP(MTBF_RoW[[#This Row],[Week]],INDIRECT("MTBF_"&amp;$Q$1&amp;"[Week]"),INDIRECT("MTBF_"&amp;$Q$1&amp;"[Productive time '[hrs']]"),0,0)</f>
        <v>#REF!</v>
      </c>
      <c r="R13" s="93" t="e" cm="1">
        <f t="array" aca="1" ref="R13" ca="1">_xlfn.XLOOKUP(MTBF_RoW[[#This Row],[Week]],INDIRECT("MTBF_"&amp;$P$1&amp;"[Week]"),INDIRECT("MTBF_"&amp;$P$1&amp;"[Uptime '[hrs']]"),0,0)+_xlfn.XLOOKUP(MTBF_RoW[[#This Row],[Week]],INDIRECT("MTBF_"&amp;$Q$1&amp;"[Week]"),INDIRECT("MTBF_"&amp;$Q$1&amp;"[Uptime '[hrs']]"),0,0)</f>
        <v>#REF!</v>
      </c>
      <c r="S13" s="89" t="e" cm="1">
        <f t="array" aca="1" ref="S13" ca="1">_xlfn.XLOOKUP(MTBF_RoW[[#This Row],[Week]],INDIRECT("MTBF_"&amp;$P$1&amp;"[Week]"),INDIRECT("MTBF_"&amp;$P$1&amp;"[P hits]"),0,0)+_xlfn.XLOOKUP(MTBF_RoW[[#This Row],[Week]],INDIRECT("MTBF_"&amp;$Q$1&amp;"[Week]"),INDIRECT("MTBF_"&amp;$Q$1&amp;"[P hits]"),0,0)</f>
        <v>#REF!</v>
      </c>
      <c r="T13" s="89" t="e" cm="1">
        <f t="array" aca="1" ref="T13" ca="1">_xlfn.XLOOKUP(MTBF_RoW[[#This Row],[Week]],INDIRECT("MTBF_"&amp;$P$1&amp;"[Week]"),INDIRECT("MTBF_"&amp;$P$1&amp;"[U hits]"),0,0)+_xlfn.XLOOKUP(MTBF_RoW[[#This Row],[Week]],INDIRECT("MTBF_"&amp;$Q$1&amp;"[Week]"),INDIRECT("MTBF_"&amp;$Q$1&amp;"[U hits]"),0,0)</f>
        <v>#REF!</v>
      </c>
      <c r="U13" s="93" t="e">
        <f ca="1">IF(MTBF_RoW[[#This Row],[P hits]]=0,MTBF_RoW[[#This Row],[Productive time '[hrs']]],MTBF_RoW[[#This Row],[Productive time '[hrs']]]/MTBF_RoW[[#This Row],[P hits]])</f>
        <v>#REF!</v>
      </c>
      <c r="V13" s="93" t="e">
        <f t="shared" ca="1" si="0"/>
        <v>#REF!</v>
      </c>
      <c r="W13" s="93"/>
      <c r="X13" s="93" t="e">
        <f ca="1">IF(MTBF_RoW[[#This Row],[U hits]]=0,MTBF_RoW[[#This Row],[Uptime '[hrs']]],MTBF_RoW[[#This Row],[Uptime '[hrs']]]/MTBF_RoW[[#This Row],[U hits]])</f>
        <v>#REF!</v>
      </c>
      <c r="Y13" s="93" t="e">
        <f t="shared" ca="1" si="1"/>
        <v>#REF!</v>
      </c>
      <c r="Z13" s="93"/>
      <c r="AC13" s="89">
        <v>2435</v>
      </c>
      <c r="AD13" s="89" t="str">
        <f t="shared" si="2"/>
        <v>wk2435</v>
      </c>
      <c r="AE13" s="93">
        <f ca="1">MTBF_customer_ROW[[#This Row],[MTBFp 1wma]]</f>
        <v>0</v>
      </c>
      <c r="AF13" s="93">
        <f ca="1">MTBF_customer_ROW[[#This Row],[MTBFp 4wma]]</f>
        <v>0</v>
      </c>
      <c r="AG13" s="93" t="e">
        <f ca="1">IF(MTBF_customer_ROW[[#This Row],[MTBFp 13wma]]=0,NA(),MTBF_customer_ROW[[#This Row],[MTBFp 13wma]])</f>
        <v>#N/A</v>
      </c>
      <c r="AH13" s="93" t="e">
        <f ca="1">MTBF_RoW[[#This Row],[MTBFp 1wma]]</f>
        <v>#REF!</v>
      </c>
      <c r="AI13" s="93" t="e">
        <f ca="1">MTBF_RoW[[#This Row],[MTBFp 4wma]]</f>
        <v>#REF!</v>
      </c>
      <c r="AJ13" s="93" t="e">
        <f>IF(MTBF_RoW[[#This Row],[MTBFp 13wma]]=0,NA(),MTBF_RoW[[#This Row],[MTBFp 13wma]])</f>
        <v>#N/A</v>
      </c>
    </row>
    <row r="14" spans="1:36">
      <c r="A14" s="89">
        <v>2436</v>
      </c>
      <c r="B14" s="89" t="str">
        <f>"wk"&amp;MTBF_customer_ROW[[#This Row],[Week]]</f>
        <v>wk2436</v>
      </c>
      <c r="C14" s="93" cm="1">
        <f t="array" aca="1" ref="C14" ca="1">_xlfn.XLOOKUP(MTBF_customer_ROW[[#This Row],[Week]],INDIRECT("MTBF_"&amp;$B$1&amp;"[Week]"),INDIRECT("MTBF_"&amp;$B$1&amp;"[Productive time '[hrs']]"),0,0)</f>
        <v>0</v>
      </c>
      <c r="D14" s="93" cm="1">
        <f t="array" aca="1" ref="D14" ca="1">_xlfn.XLOOKUP(MTBF_customer_ROW[[#This Row],[Week]],INDIRECT("MTBF_"&amp;$B$1&amp;"[Week]"),INDIRECT("MTBF_"&amp;$B$1&amp;"[Uptime '[hrs']]"),0,0)</f>
        <v>0</v>
      </c>
      <c r="E14" s="89" cm="1">
        <f t="array" aca="1" ref="E14" ca="1">_xlfn.XLOOKUP(MTBF_customer_ROW[[#This Row],[Week]],INDIRECT("MTBF_"&amp;$B$1&amp;"[Week]"),INDIRECT("MTBF_"&amp;$B$1&amp;"[P hits]"),0,0)</f>
        <v>0</v>
      </c>
      <c r="F14" s="89" cm="1">
        <f t="array" aca="1" ref="F14" ca="1">_xlfn.XLOOKUP(MTBF_customer_ROW[[#This Row],[Week]],INDIRECT("MTBF_"&amp;$B$1&amp;"[Week]"),INDIRECT("MTBF_"&amp;$B$1&amp;"[U hits]"),0,0)</f>
        <v>0</v>
      </c>
      <c r="G14" s="95" cm="1">
        <f t="array" aca="1" ref="G14" ca="1">_xlfn.XLOOKUP(MTBF_customer_ROW[[#This Row],[Week]],INDIRECT("MTBF_"&amp;$B$1&amp;"[Week]"),INDIRECT("MTBF_"&amp;$B$1&amp;"[MTBFp 1wma]"),0,0)</f>
        <v>0</v>
      </c>
      <c r="H14" s="95" cm="1">
        <f t="array" aca="1" ref="H14" ca="1">_xlfn.XLOOKUP(MTBF_customer_ROW[[#This Row],[Week]],INDIRECT("MTBF_"&amp;$B$1&amp;"[Week]"),INDIRECT("MTBF_"&amp;$B$1&amp;"[MTBFp 4wma]"),0,0)</f>
        <v>0</v>
      </c>
      <c r="I14" s="95" cm="1">
        <f t="array" aca="1" ref="I14" ca="1">_xlfn.XLOOKUP(MTBF_customer_ROW[[#This Row],[Week]],INDIRECT("MTBF_"&amp;$B$1&amp;"[Week]"),INDIRECT("MTBF_"&amp;$B$1&amp;"[MTBFp 13wma]"),0,0)</f>
        <v>0</v>
      </c>
      <c r="J14" s="93" cm="1">
        <f t="array" aca="1" ref="J14" ca="1">_xlfn.XLOOKUP(MTBF_customer_ROW[[#This Row],[Week]],INDIRECT("MTBF_"&amp;$B$1&amp;"[Week]"),INDIRECT("MTBF_"&amp;$B$1&amp;"[MTBFu 1wma]"),0,0)</f>
        <v>0</v>
      </c>
      <c r="K14" s="95" cm="1">
        <f t="array" aca="1" ref="K14" ca="1">_xlfn.XLOOKUP(MTBF_customer_ROW[[#This Row],[Week]],INDIRECT("MTBF_"&amp;$B$1&amp;"[Week]"),INDIRECT("MTBF_"&amp;$B$1&amp;"[MTBFu 4wma]"),0,0)</f>
        <v>0</v>
      </c>
      <c r="L14" s="95" cm="1">
        <f t="array" aca="1" ref="L14" ca="1">_xlfn.XLOOKUP(MTBF_customer_ROW[[#This Row],[Week]],INDIRECT("MTBF_"&amp;$B$1&amp;"[Week]"),INDIRECT("MTBF_"&amp;$B$1&amp;"[MTBFu 13wma]"),0,0)</f>
        <v>0</v>
      </c>
      <c r="O14" s="89">
        <v>2436</v>
      </c>
      <c r="P14" s="89" t="str">
        <f>"wk"&amp;MTBF_RoW[[#This Row],[Week]]</f>
        <v>wk2436</v>
      </c>
      <c r="Q14" s="93" t="e" cm="1">
        <f t="array" aca="1" ref="Q14" ca="1">_xlfn.XLOOKUP(MTBF_RoW[[#This Row],[Week]],INDIRECT("MTBF_"&amp;$P$1&amp;"[Week]"),INDIRECT("MTBF_"&amp;$P$1&amp;"[Productive time '[hrs']]"),0,0)+_xlfn.XLOOKUP(MTBF_RoW[[#This Row],[Week]],INDIRECT("MTBF_"&amp;$Q$1&amp;"[Week]"),INDIRECT("MTBF_"&amp;$Q$1&amp;"[Productive time '[hrs']]"),0,0)</f>
        <v>#REF!</v>
      </c>
      <c r="R14" s="93" t="e" cm="1">
        <f t="array" aca="1" ref="R14" ca="1">_xlfn.XLOOKUP(MTBF_RoW[[#This Row],[Week]],INDIRECT("MTBF_"&amp;$P$1&amp;"[Week]"),INDIRECT("MTBF_"&amp;$P$1&amp;"[Uptime '[hrs']]"),0,0)+_xlfn.XLOOKUP(MTBF_RoW[[#This Row],[Week]],INDIRECT("MTBF_"&amp;$Q$1&amp;"[Week]"),INDIRECT("MTBF_"&amp;$Q$1&amp;"[Uptime '[hrs']]"),0,0)</f>
        <v>#REF!</v>
      </c>
      <c r="S14" s="89" t="e" cm="1">
        <f t="array" aca="1" ref="S14" ca="1">_xlfn.XLOOKUP(MTBF_RoW[[#This Row],[Week]],INDIRECT("MTBF_"&amp;$P$1&amp;"[Week]"),INDIRECT("MTBF_"&amp;$P$1&amp;"[P hits]"),0,0)+_xlfn.XLOOKUP(MTBF_RoW[[#This Row],[Week]],INDIRECT("MTBF_"&amp;$Q$1&amp;"[Week]"),INDIRECT("MTBF_"&amp;$Q$1&amp;"[P hits]"),0,0)</f>
        <v>#REF!</v>
      </c>
      <c r="T14" s="89" t="e" cm="1">
        <f t="array" aca="1" ref="T14" ca="1">_xlfn.XLOOKUP(MTBF_RoW[[#This Row],[Week]],INDIRECT("MTBF_"&amp;$P$1&amp;"[Week]"),INDIRECT("MTBF_"&amp;$P$1&amp;"[U hits]"),0,0)+_xlfn.XLOOKUP(MTBF_RoW[[#This Row],[Week]],INDIRECT("MTBF_"&amp;$Q$1&amp;"[Week]"),INDIRECT("MTBF_"&amp;$Q$1&amp;"[U hits]"),0,0)</f>
        <v>#REF!</v>
      </c>
      <c r="U14" s="93" t="e">
        <f ca="1">IF(MTBF_RoW[[#This Row],[P hits]]=0,MTBF_RoW[[#This Row],[Productive time '[hrs']]],MTBF_RoW[[#This Row],[Productive time '[hrs']]]/MTBF_RoW[[#This Row],[P hits]])</f>
        <v>#REF!</v>
      </c>
      <c r="V14" s="93" t="e">
        <f ca="1">IF(SUM(S11:S14)=0,SUM(Q11:Q14),SUM(Q11:Q14)/SUM(S11:S14))</f>
        <v>#REF!</v>
      </c>
      <c r="W14" s="93"/>
      <c r="X14" s="93" t="e">
        <f ca="1">IF(MTBF_RoW[[#This Row],[U hits]]=0,MTBF_RoW[[#This Row],[Uptime '[hrs']]],MTBF_RoW[[#This Row],[Uptime '[hrs']]]/MTBF_RoW[[#This Row],[U hits]])</f>
        <v>#REF!</v>
      </c>
      <c r="Y14" s="93" t="e">
        <f t="shared" ca="1" si="1"/>
        <v>#REF!</v>
      </c>
      <c r="Z14" s="93"/>
      <c r="AC14" s="89">
        <v>2436</v>
      </c>
      <c r="AD14" s="89" t="str">
        <f t="shared" si="2"/>
        <v>wk2436</v>
      </c>
      <c r="AE14" s="93">
        <f ca="1">MTBF_customer_ROW[[#This Row],[MTBFp 1wma]]</f>
        <v>0</v>
      </c>
      <c r="AF14" s="93">
        <f ca="1">MTBF_customer_ROW[[#This Row],[MTBFp 4wma]]</f>
        <v>0</v>
      </c>
      <c r="AG14" s="93" t="e">
        <f ca="1">IF(MTBF_customer_ROW[[#This Row],[MTBFp 13wma]]=0,NA(),MTBF_customer_ROW[[#This Row],[MTBFp 13wma]])</f>
        <v>#N/A</v>
      </c>
      <c r="AH14" s="93" t="e">
        <f ca="1">MTBF_RoW[[#This Row],[MTBFp 1wma]]</f>
        <v>#REF!</v>
      </c>
      <c r="AI14" s="93" t="e">
        <f ca="1">MTBF_RoW[[#This Row],[MTBFp 4wma]]</f>
        <v>#REF!</v>
      </c>
      <c r="AJ14" s="93" t="e">
        <f>IF(MTBF_RoW[[#This Row],[MTBFp 13wma]]=0,NA(),MTBF_RoW[[#This Row],[MTBFp 13wma]])</f>
        <v>#N/A</v>
      </c>
    </row>
    <row r="15" spans="1:36">
      <c r="A15" s="89">
        <v>2437</v>
      </c>
      <c r="B15" s="89" t="str">
        <f>"wk"&amp;MTBF_customer_ROW[[#This Row],[Week]]</f>
        <v>wk2437</v>
      </c>
      <c r="C15" s="93" cm="1">
        <f t="array" aca="1" ref="C15" ca="1">_xlfn.XLOOKUP(MTBF_customer_ROW[[#This Row],[Week]],INDIRECT("MTBF_"&amp;$B$1&amp;"[Week]"),INDIRECT("MTBF_"&amp;$B$1&amp;"[Productive time '[hrs']]"),0,0)</f>
        <v>0</v>
      </c>
      <c r="D15" s="93" cm="1">
        <f t="array" aca="1" ref="D15" ca="1">_xlfn.XLOOKUP(MTBF_customer_ROW[[#This Row],[Week]],INDIRECT("MTBF_"&amp;$B$1&amp;"[Week]"),INDIRECT("MTBF_"&amp;$B$1&amp;"[Uptime '[hrs']]"),0,0)</f>
        <v>0</v>
      </c>
      <c r="E15" s="89" cm="1">
        <f t="array" aca="1" ref="E15" ca="1">_xlfn.XLOOKUP(MTBF_customer_ROW[[#This Row],[Week]],INDIRECT("MTBF_"&amp;$B$1&amp;"[Week]"),INDIRECT("MTBF_"&amp;$B$1&amp;"[P hits]"),0,0)</f>
        <v>0</v>
      </c>
      <c r="F15" s="89" cm="1">
        <f t="array" aca="1" ref="F15" ca="1">_xlfn.XLOOKUP(MTBF_customer_ROW[[#This Row],[Week]],INDIRECT("MTBF_"&amp;$B$1&amp;"[Week]"),INDIRECT("MTBF_"&amp;$B$1&amp;"[U hits]"),0,0)</f>
        <v>0</v>
      </c>
      <c r="G15" s="95" cm="1">
        <f t="array" aca="1" ref="G15" ca="1">_xlfn.XLOOKUP(MTBF_customer_ROW[[#This Row],[Week]],INDIRECT("MTBF_"&amp;$B$1&amp;"[Week]"),INDIRECT("MTBF_"&amp;$B$1&amp;"[MTBFp 1wma]"),0,0)</f>
        <v>0</v>
      </c>
      <c r="H15" s="95" cm="1">
        <f t="array" aca="1" ref="H15" ca="1">_xlfn.XLOOKUP(MTBF_customer_ROW[[#This Row],[Week]],INDIRECT("MTBF_"&amp;$B$1&amp;"[Week]"),INDIRECT("MTBF_"&amp;$B$1&amp;"[MTBFp 4wma]"),0,0)</f>
        <v>0</v>
      </c>
      <c r="I15" s="95" cm="1">
        <f t="array" aca="1" ref="I15" ca="1">_xlfn.XLOOKUP(MTBF_customer_ROW[[#This Row],[Week]],INDIRECT("MTBF_"&amp;$B$1&amp;"[Week]"),INDIRECT("MTBF_"&amp;$B$1&amp;"[MTBFp 13wma]"),0,0)</f>
        <v>0</v>
      </c>
      <c r="J15" s="93" cm="1">
        <f t="array" aca="1" ref="J15" ca="1">_xlfn.XLOOKUP(MTBF_customer_ROW[[#This Row],[Week]],INDIRECT("MTBF_"&amp;$B$1&amp;"[Week]"),INDIRECT("MTBF_"&amp;$B$1&amp;"[MTBFu 1wma]"),0,0)</f>
        <v>0</v>
      </c>
      <c r="K15" s="95" cm="1">
        <f t="array" aca="1" ref="K15" ca="1">_xlfn.XLOOKUP(MTBF_customer_ROW[[#This Row],[Week]],INDIRECT("MTBF_"&amp;$B$1&amp;"[Week]"),INDIRECT("MTBF_"&amp;$B$1&amp;"[MTBFu 4wma]"),0,0)</f>
        <v>0</v>
      </c>
      <c r="L15" s="95" cm="1">
        <f t="array" aca="1" ref="L15" ca="1">_xlfn.XLOOKUP(MTBF_customer_ROW[[#This Row],[Week]],INDIRECT("MTBF_"&amp;$B$1&amp;"[Week]"),INDIRECT("MTBF_"&amp;$B$1&amp;"[MTBFu 13wma]"),0,0)</f>
        <v>0</v>
      </c>
      <c r="O15" s="89">
        <v>2437</v>
      </c>
      <c r="P15" s="89" t="str">
        <f>"wk"&amp;MTBF_RoW[[#This Row],[Week]]</f>
        <v>wk2437</v>
      </c>
      <c r="Q15" s="93" t="e" cm="1">
        <f t="array" aca="1" ref="Q15" ca="1">_xlfn.XLOOKUP(MTBF_RoW[[#This Row],[Week]],INDIRECT("MTBF_"&amp;$P$1&amp;"[Week]"),INDIRECT("MTBF_"&amp;$P$1&amp;"[Productive time '[hrs']]"),0,0)+_xlfn.XLOOKUP(MTBF_RoW[[#This Row],[Week]],INDIRECT("MTBF_"&amp;$Q$1&amp;"[Week]"),INDIRECT("MTBF_"&amp;$Q$1&amp;"[Productive time '[hrs']]"),0,0)</f>
        <v>#REF!</v>
      </c>
      <c r="R15" s="93" t="e" cm="1">
        <f t="array" aca="1" ref="R15" ca="1">_xlfn.XLOOKUP(MTBF_RoW[[#This Row],[Week]],INDIRECT("MTBF_"&amp;$P$1&amp;"[Week]"),INDIRECT("MTBF_"&amp;$P$1&amp;"[Uptime '[hrs']]"),0,0)+_xlfn.XLOOKUP(MTBF_RoW[[#This Row],[Week]],INDIRECT("MTBF_"&amp;$Q$1&amp;"[Week]"),INDIRECT("MTBF_"&amp;$Q$1&amp;"[Uptime '[hrs']]"),0,0)</f>
        <v>#REF!</v>
      </c>
      <c r="S15" s="89" t="e" cm="1">
        <f t="array" aca="1" ref="S15" ca="1">_xlfn.XLOOKUP(MTBF_RoW[[#This Row],[Week]],INDIRECT("MTBF_"&amp;$P$1&amp;"[Week]"),INDIRECT("MTBF_"&amp;$P$1&amp;"[P hits]"),0,0)+_xlfn.XLOOKUP(MTBF_RoW[[#This Row],[Week]],INDIRECT("MTBF_"&amp;$Q$1&amp;"[Week]"),INDIRECT("MTBF_"&amp;$Q$1&amp;"[P hits]"),0,0)</f>
        <v>#REF!</v>
      </c>
      <c r="T15" s="89" t="e" cm="1">
        <f t="array" aca="1" ref="T15" ca="1">_xlfn.XLOOKUP(MTBF_RoW[[#This Row],[Week]],INDIRECT("MTBF_"&amp;$P$1&amp;"[Week]"),INDIRECT("MTBF_"&amp;$P$1&amp;"[U hits]"),0,0)+_xlfn.XLOOKUP(MTBF_RoW[[#This Row],[Week]],INDIRECT("MTBF_"&amp;$Q$1&amp;"[Week]"),INDIRECT("MTBF_"&amp;$Q$1&amp;"[U hits]"),0,0)</f>
        <v>#REF!</v>
      </c>
      <c r="U15" s="93" t="e">
        <f ca="1">IF(MTBF_RoW[[#This Row],[P hits]]=0,MTBF_RoW[[#This Row],[Productive time '[hrs']]],MTBF_RoW[[#This Row],[Productive time '[hrs']]]/MTBF_RoW[[#This Row],[P hits]])</f>
        <v>#REF!</v>
      </c>
      <c r="V15" s="93" t="e">
        <f t="shared" ca="1" si="0"/>
        <v>#REF!</v>
      </c>
      <c r="W15" s="93"/>
      <c r="X15" s="93" t="e">
        <f ca="1">IF(MTBF_RoW[[#This Row],[U hits]]=0,MTBF_RoW[[#This Row],[Uptime '[hrs']]],MTBF_RoW[[#This Row],[Uptime '[hrs']]]/MTBF_RoW[[#This Row],[U hits]])</f>
        <v>#REF!</v>
      </c>
      <c r="Y15" s="93" t="e">
        <f t="shared" ca="1" si="1"/>
        <v>#REF!</v>
      </c>
      <c r="Z15" s="93"/>
      <c r="AC15" s="89">
        <v>2437</v>
      </c>
      <c r="AD15" s="89" t="str">
        <f t="shared" si="2"/>
        <v>wk2437</v>
      </c>
      <c r="AE15" s="93">
        <f ca="1">MTBF_customer_ROW[[#This Row],[MTBFp 1wma]]</f>
        <v>0</v>
      </c>
      <c r="AF15" s="93">
        <f ca="1">MTBF_customer_ROW[[#This Row],[MTBFp 4wma]]</f>
        <v>0</v>
      </c>
      <c r="AG15" s="93" t="e">
        <f ca="1">IF(MTBF_customer_ROW[[#This Row],[MTBFp 13wma]]=0,NA(),MTBF_customer_ROW[[#This Row],[MTBFp 13wma]])</f>
        <v>#N/A</v>
      </c>
      <c r="AH15" s="93" t="e">
        <f ca="1">MTBF_RoW[[#This Row],[MTBFp 1wma]]</f>
        <v>#REF!</v>
      </c>
      <c r="AI15" s="93" t="e">
        <f ca="1">MTBF_RoW[[#This Row],[MTBFp 4wma]]</f>
        <v>#REF!</v>
      </c>
      <c r="AJ15" s="93" t="e">
        <f>IF(MTBF_RoW[[#This Row],[MTBFp 13wma]]=0,NA(),MTBF_RoW[[#This Row],[MTBFp 13wma]])</f>
        <v>#N/A</v>
      </c>
    </row>
    <row r="16" spans="1:36">
      <c r="A16" s="89">
        <v>2438</v>
      </c>
      <c r="B16" s="89" t="str">
        <f>"wk"&amp;MTBF_customer_ROW[[#This Row],[Week]]</f>
        <v>wk2438</v>
      </c>
      <c r="C16" s="93" cm="1">
        <f t="array" aca="1" ref="C16" ca="1">_xlfn.XLOOKUP(MTBF_customer_ROW[[#This Row],[Week]],INDIRECT("MTBF_"&amp;$B$1&amp;"[Week]"),INDIRECT("MTBF_"&amp;$B$1&amp;"[Productive time '[hrs']]"),0,0)</f>
        <v>0</v>
      </c>
      <c r="D16" s="93" cm="1">
        <f t="array" aca="1" ref="D16" ca="1">_xlfn.XLOOKUP(MTBF_customer_ROW[[#This Row],[Week]],INDIRECT("MTBF_"&amp;$B$1&amp;"[Week]"),INDIRECT("MTBF_"&amp;$B$1&amp;"[Uptime '[hrs']]"),0,0)</f>
        <v>0</v>
      </c>
      <c r="E16" s="89" cm="1">
        <f t="array" aca="1" ref="E16" ca="1">_xlfn.XLOOKUP(MTBF_customer_ROW[[#This Row],[Week]],INDIRECT("MTBF_"&amp;$B$1&amp;"[Week]"),INDIRECT("MTBF_"&amp;$B$1&amp;"[P hits]"),0,0)</f>
        <v>0</v>
      </c>
      <c r="F16" s="89" cm="1">
        <f t="array" aca="1" ref="F16" ca="1">_xlfn.XLOOKUP(MTBF_customer_ROW[[#This Row],[Week]],INDIRECT("MTBF_"&amp;$B$1&amp;"[Week]"),INDIRECT("MTBF_"&amp;$B$1&amp;"[U hits]"),0,0)</f>
        <v>0</v>
      </c>
      <c r="G16" s="95" cm="1">
        <f t="array" aca="1" ref="G16" ca="1">_xlfn.XLOOKUP(MTBF_customer_ROW[[#This Row],[Week]],INDIRECT("MTBF_"&amp;$B$1&amp;"[Week]"),INDIRECT("MTBF_"&amp;$B$1&amp;"[MTBFp 1wma]"),0,0)</f>
        <v>0</v>
      </c>
      <c r="H16" s="95" cm="1">
        <f t="array" aca="1" ref="H16" ca="1">_xlfn.XLOOKUP(MTBF_customer_ROW[[#This Row],[Week]],INDIRECT("MTBF_"&amp;$B$1&amp;"[Week]"),INDIRECT("MTBF_"&amp;$B$1&amp;"[MTBFp 4wma]"),0,0)</f>
        <v>0</v>
      </c>
      <c r="I16" s="95" cm="1">
        <f t="array" aca="1" ref="I16" ca="1">_xlfn.XLOOKUP(MTBF_customer_ROW[[#This Row],[Week]],INDIRECT("MTBF_"&amp;$B$1&amp;"[Week]"),INDIRECT("MTBF_"&amp;$B$1&amp;"[MTBFp 13wma]"),0,0)</f>
        <v>0</v>
      </c>
      <c r="J16" s="93" cm="1">
        <f t="array" aca="1" ref="J16" ca="1">_xlfn.XLOOKUP(MTBF_customer_ROW[[#This Row],[Week]],INDIRECT("MTBF_"&amp;$B$1&amp;"[Week]"),INDIRECT("MTBF_"&amp;$B$1&amp;"[MTBFu 1wma]"),0,0)</f>
        <v>0</v>
      </c>
      <c r="K16" s="95" cm="1">
        <f t="array" aca="1" ref="K16" ca="1">_xlfn.XLOOKUP(MTBF_customer_ROW[[#This Row],[Week]],INDIRECT("MTBF_"&amp;$B$1&amp;"[Week]"),INDIRECT("MTBF_"&amp;$B$1&amp;"[MTBFu 4wma]"),0,0)</f>
        <v>0</v>
      </c>
      <c r="L16" s="95" cm="1">
        <f t="array" aca="1" ref="L16" ca="1">_xlfn.XLOOKUP(MTBF_customer_ROW[[#This Row],[Week]],INDIRECT("MTBF_"&amp;$B$1&amp;"[Week]"),INDIRECT("MTBF_"&amp;$B$1&amp;"[MTBFu 13wma]"),0,0)</f>
        <v>0</v>
      </c>
      <c r="O16" s="89">
        <v>2438</v>
      </c>
      <c r="P16" s="89" t="str">
        <f>"wk"&amp;MTBF_RoW[[#This Row],[Week]]</f>
        <v>wk2438</v>
      </c>
      <c r="Q16" s="93" t="e" cm="1">
        <f t="array" aca="1" ref="Q16" ca="1">_xlfn.XLOOKUP(MTBF_RoW[[#This Row],[Week]],INDIRECT("MTBF_"&amp;$P$1&amp;"[Week]"),INDIRECT("MTBF_"&amp;$P$1&amp;"[Productive time '[hrs']]"),0,0)+_xlfn.XLOOKUP(MTBF_RoW[[#This Row],[Week]],INDIRECT("MTBF_"&amp;$Q$1&amp;"[Week]"),INDIRECT("MTBF_"&amp;$Q$1&amp;"[Productive time '[hrs']]"),0,0)</f>
        <v>#REF!</v>
      </c>
      <c r="R16" s="93" t="e" cm="1">
        <f t="array" aca="1" ref="R16" ca="1">_xlfn.XLOOKUP(MTBF_RoW[[#This Row],[Week]],INDIRECT("MTBF_"&amp;$P$1&amp;"[Week]"),INDIRECT("MTBF_"&amp;$P$1&amp;"[Uptime '[hrs']]"),0,0)+_xlfn.XLOOKUP(MTBF_RoW[[#This Row],[Week]],INDIRECT("MTBF_"&amp;$Q$1&amp;"[Week]"),INDIRECT("MTBF_"&amp;$Q$1&amp;"[Uptime '[hrs']]"),0,0)</f>
        <v>#REF!</v>
      </c>
      <c r="S16" s="89" t="e" cm="1">
        <f t="array" aca="1" ref="S16" ca="1">_xlfn.XLOOKUP(MTBF_RoW[[#This Row],[Week]],INDIRECT("MTBF_"&amp;$P$1&amp;"[Week]"),INDIRECT("MTBF_"&amp;$P$1&amp;"[P hits]"),0,0)+_xlfn.XLOOKUP(MTBF_RoW[[#This Row],[Week]],INDIRECT("MTBF_"&amp;$Q$1&amp;"[Week]"),INDIRECT("MTBF_"&amp;$Q$1&amp;"[P hits]"),0,0)</f>
        <v>#REF!</v>
      </c>
      <c r="T16" s="89" t="e" cm="1">
        <f t="array" aca="1" ref="T16" ca="1">_xlfn.XLOOKUP(MTBF_RoW[[#This Row],[Week]],INDIRECT("MTBF_"&amp;$P$1&amp;"[Week]"),INDIRECT("MTBF_"&amp;$P$1&amp;"[U hits]"),0,0)+_xlfn.XLOOKUP(MTBF_RoW[[#This Row],[Week]],INDIRECT("MTBF_"&amp;$Q$1&amp;"[Week]"),INDIRECT("MTBF_"&amp;$Q$1&amp;"[U hits]"),0,0)</f>
        <v>#REF!</v>
      </c>
      <c r="U16" s="93" t="e">
        <f ca="1">IF(MTBF_RoW[[#This Row],[P hits]]=0,MTBF_RoW[[#This Row],[Productive time '[hrs']]],MTBF_RoW[[#This Row],[Productive time '[hrs']]]/MTBF_RoW[[#This Row],[P hits]])</f>
        <v>#REF!</v>
      </c>
      <c r="V16" s="93" t="e">
        <f t="shared" ca="1" si="0"/>
        <v>#REF!</v>
      </c>
      <c r="W16" s="93"/>
      <c r="X16" s="93" t="e">
        <f ca="1">IF(MTBF_RoW[[#This Row],[U hits]]=0,MTBF_RoW[[#This Row],[Uptime '[hrs']]],MTBF_RoW[[#This Row],[Uptime '[hrs']]]/MTBF_RoW[[#This Row],[U hits]])</f>
        <v>#REF!</v>
      </c>
      <c r="Y16" s="93" t="e">
        <f t="shared" ca="1" si="1"/>
        <v>#REF!</v>
      </c>
      <c r="Z16" s="93"/>
      <c r="AC16" s="89">
        <v>2438</v>
      </c>
      <c r="AD16" s="89" t="str">
        <f t="shared" si="2"/>
        <v>wk2438</v>
      </c>
      <c r="AE16" s="93">
        <f ca="1">MTBF_customer_ROW[[#This Row],[MTBFp 1wma]]</f>
        <v>0</v>
      </c>
      <c r="AF16" s="93">
        <f ca="1">MTBF_customer_ROW[[#This Row],[MTBFp 4wma]]</f>
        <v>0</v>
      </c>
      <c r="AG16" s="93" t="e">
        <f ca="1">IF(MTBF_customer_ROW[[#This Row],[MTBFp 13wma]]=0,NA(),MTBF_customer_ROW[[#This Row],[MTBFp 13wma]])</f>
        <v>#N/A</v>
      </c>
      <c r="AH16" s="93" t="e">
        <f ca="1">MTBF_RoW[[#This Row],[MTBFp 1wma]]</f>
        <v>#REF!</v>
      </c>
      <c r="AI16" s="93" t="e">
        <f ca="1">MTBF_RoW[[#This Row],[MTBFp 4wma]]</f>
        <v>#REF!</v>
      </c>
      <c r="AJ16" s="93" t="e">
        <f>IF(MTBF_RoW[[#This Row],[MTBFp 13wma]]=0,NA(),MTBF_RoW[[#This Row],[MTBFp 13wma]])</f>
        <v>#N/A</v>
      </c>
    </row>
    <row r="17" spans="1:36">
      <c r="A17" s="89">
        <v>2439</v>
      </c>
      <c r="B17" s="89" t="str">
        <f>"wk"&amp;MTBF_customer_ROW[[#This Row],[Week]]</f>
        <v>wk2439</v>
      </c>
      <c r="C17" s="93" cm="1">
        <f t="array" aca="1" ref="C17" ca="1">_xlfn.XLOOKUP(MTBF_customer_ROW[[#This Row],[Week]],INDIRECT("MTBF_"&amp;$B$1&amp;"[Week]"),INDIRECT("MTBF_"&amp;$B$1&amp;"[Productive time '[hrs']]"),0,0)</f>
        <v>0</v>
      </c>
      <c r="D17" s="93" cm="1">
        <f t="array" aca="1" ref="D17" ca="1">_xlfn.XLOOKUP(MTBF_customer_ROW[[#This Row],[Week]],INDIRECT("MTBF_"&amp;$B$1&amp;"[Week]"),INDIRECT("MTBF_"&amp;$B$1&amp;"[Uptime '[hrs']]"),0,0)</f>
        <v>0</v>
      </c>
      <c r="E17" s="89" cm="1">
        <f t="array" aca="1" ref="E17" ca="1">_xlfn.XLOOKUP(MTBF_customer_ROW[[#This Row],[Week]],INDIRECT("MTBF_"&amp;$B$1&amp;"[Week]"),INDIRECT("MTBF_"&amp;$B$1&amp;"[P hits]"),0,0)</f>
        <v>0</v>
      </c>
      <c r="F17" s="89" cm="1">
        <f t="array" aca="1" ref="F17" ca="1">_xlfn.XLOOKUP(MTBF_customer_ROW[[#This Row],[Week]],INDIRECT("MTBF_"&amp;$B$1&amp;"[Week]"),INDIRECT("MTBF_"&amp;$B$1&amp;"[U hits]"),0,0)</f>
        <v>0</v>
      </c>
      <c r="G17" s="95" cm="1">
        <f t="array" aca="1" ref="G17" ca="1">_xlfn.XLOOKUP(MTBF_customer_ROW[[#This Row],[Week]],INDIRECT("MTBF_"&amp;$B$1&amp;"[Week]"),INDIRECT("MTBF_"&amp;$B$1&amp;"[MTBFp 1wma]"),0,0)</f>
        <v>0</v>
      </c>
      <c r="H17" s="95" cm="1">
        <f t="array" aca="1" ref="H17" ca="1">_xlfn.XLOOKUP(MTBF_customer_ROW[[#This Row],[Week]],INDIRECT("MTBF_"&amp;$B$1&amp;"[Week]"),INDIRECT("MTBF_"&amp;$B$1&amp;"[MTBFp 4wma]"),0,0)</f>
        <v>0</v>
      </c>
      <c r="I17" s="95" cm="1">
        <f t="array" aca="1" ref="I17" ca="1">_xlfn.XLOOKUP(MTBF_customer_ROW[[#This Row],[Week]],INDIRECT("MTBF_"&amp;$B$1&amp;"[Week]"),INDIRECT("MTBF_"&amp;$B$1&amp;"[MTBFp 13wma]"),0,0)</f>
        <v>0</v>
      </c>
      <c r="J17" s="93" cm="1">
        <f t="array" aca="1" ref="J17" ca="1">_xlfn.XLOOKUP(MTBF_customer_ROW[[#This Row],[Week]],INDIRECT("MTBF_"&amp;$B$1&amp;"[Week]"),INDIRECT("MTBF_"&amp;$B$1&amp;"[MTBFu 1wma]"),0,0)</f>
        <v>0</v>
      </c>
      <c r="K17" s="95" cm="1">
        <f t="array" aca="1" ref="K17" ca="1">_xlfn.XLOOKUP(MTBF_customer_ROW[[#This Row],[Week]],INDIRECT("MTBF_"&amp;$B$1&amp;"[Week]"),INDIRECT("MTBF_"&amp;$B$1&amp;"[MTBFu 4wma]"),0,0)</f>
        <v>0</v>
      </c>
      <c r="L17" s="95" cm="1">
        <f t="array" aca="1" ref="L17" ca="1">_xlfn.XLOOKUP(MTBF_customer_ROW[[#This Row],[Week]],INDIRECT("MTBF_"&amp;$B$1&amp;"[Week]"),INDIRECT("MTBF_"&amp;$B$1&amp;"[MTBFu 13wma]"),0,0)</f>
        <v>0</v>
      </c>
      <c r="O17" s="89">
        <v>2439</v>
      </c>
      <c r="P17" s="89" t="str">
        <f>"wk"&amp;MTBF_RoW[[#This Row],[Week]]</f>
        <v>wk2439</v>
      </c>
      <c r="Q17" s="93" t="e" cm="1">
        <f t="array" aca="1" ref="Q17" ca="1">_xlfn.XLOOKUP(MTBF_RoW[[#This Row],[Week]],INDIRECT("MTBF_"&amp;$P$1&amp;"[Week]"),INDIRECT("MTBF_"&amp;$P$1&amp;"[Productive time '[hrs']]"),0,0)+_xlfn.XLOOKUP(MTBF_RoW[[#This Row],[Week]],INDIRECT("MTBF_"&amp;$Q$1&amp;"[Week]"),INDIRECT("MTBF_"&amp;$Q$1&amp;"[Productive time '[hrs']]"),0,0)</f>
        <v>#REF!</v>
      </c>
      <c r="R17" s="93" t="e" cm="1">
        <f t="array" aca="1" ref="R17" ca="1">_xlfn.XLOOKUP(MTBF_RoW[[#This Row],[Week]],INDIRECT("MTBF_"&amp;$P$1&amp;"[Week]"),INDIRECT("MTBF_"&amp;$P$1&amp;"[Uptime '[hrs']]"),0,0)+_xlfn.XLOOKUP(MTBF_RoW[[#This Row],[Week]],INDIRECT("MTBF_"&amp;$Q$1&amp;"[Week]"),INDIRECT("MTBF_"&amp;$Q$1&amp;"[Uptime '[hrs']]"),0,0)</f>
        <v>#REF!</v>
      </c>
      <c r="S17" s="89" t="e" cm="1">
        <f t="array" aca="1" ref="S17" ca="1">_xlfn.XLOOKUP(MTBF_RoW[[#This Row],[Week]],INDIRECT("MTBF_"&amp;$P$1&amp;"[Week]"),INDIRECT("MTBF_"&amp;$P$1&amp;"[P hits]"),0,0)+_xlfn.XLOOKUP(MTBF_RoW[[#This Row],[Week]],INDIRECT("MTBF_"&amp;$Q$1&amp;"[Week]"),INDIRECT("MTBF_"&amp;$Q$1&amp;"[P hits]"),0,0)</f>
        <v>#REF!</v>
      </c>
      <c r="T17" s="89" t="e" cm="1">
        <f t="array" aca="1" ref="T17" ca="1">_xlfn.XLOOKUP(MTBF_RoW[[#This Row],[Week]],INDIRECT("MTBF_"&amp;$P$1&amp;"[Week]"),INDIRECT("MTBF_"&amp;$P$1&amp;"[U hits]"),0,0)+_xlfn.XLOOKUP(MTBF_RoW[[#This Row],[Week]],INDIRECT("MTBF_"&amp;$Q$1&amp;"[Week]"),INDIRECT("MTBF_"&amp;$Q$1&amp;"[U hits]"),0,0)</f>
        <v>#REF!</v>
      </c>
      <c r="U17" s="93" t="e">
        <f ca="1">IF(MTBF_RoW[[#This Row],[P hits]]=0,MTBF_RoW[[#This Row],[Productive time '[hrs']]],MTBF_RoW[[#This Row],[Productive time '[hrs']]]/MTBF_RoW[[#This Row],[P hits]])</f>
        <v>#REF!</v>
      </c>
      <c r="V17" s="93" t="e">
        <f t="shared" ca="1" si="0"/>
        <v>#REF!</v>
      </c>
      <c r="W17" s="93"/>
      <c r="X17" s="93" t="e">
        <f ca="1">IF(MTBF_RoW[[#This Row],[U hits]]=0,MTBF_RoW[[#This Row],[Uptime '[hrs']]],MTBF_RoW[[#This Row],[Uptime '[hrs']]]/MTBF_RoW[[#This Row],[U hits]])</f>
        <v>#REF!</v>
      </c>
      <c r="Y17" s="93" t="e">
        <f t="shared" ca="1" si="1"/>
        <v>#REF!</v>
      </c>
      <c r="Z17" s="93"/>
      <c r="AC17" s="89">
        <v>2439</v>
      </c>
      <c r="AD17" s="89" t="str">
        <f t="shared" si="2"/>
        <v>wk2439</v>
      </c>
      <c r="AE17" s="93">
        <f ca="1">MTBF_customer_ROW[[#This Row],[MTBFp 1wma]]</f>
        <v>0</v>
      </c>
      <c r="AF17" s="93">
        <f ca="1">MTBF_customer_ROW[[#This Row],[MTBFp 4wma]]</f>
        <v>0</v>
      </c>
      <c r="AG17" s="93" t="e">
        <f ca="1">IF(MTBF_customer_ROW[[#This Row],[MTBFp 13wma]]=0,NA(),MTBF_customer_ROW[[#This Row],[MTBFp 13wma]])</f>
        <v>#N/A</v>
      </c>
      <c r="AH17" s="93" t="e">
        <f ca="1">MTBF_RoW[[#This Row],[MTBFp 1wma]]</f>
        <v>#REF!</v>
      </c>
      <c r="AI17" s="93" t="e">
        <f ca="1">MTBF_RoW[[#This Row],[MTBFp 4wma]]</f>
        <v>#REF!</v>
      </c>
      <c r="AJ17" s="93" t="e">
        <f>IF(MTBF_RoW[[#This Row],[MTBFp 13wma]]=0,NA(),MTBF_RoW[[#This Row],[MTBFp 13wma]])</f>
        <v>#N/A</v>
      </c>
    </row>
    <row r="18" spans="1:36">
      <c r="A18" s="89">
        <v>2440</v>
      </c>
      <c r="B18" s="89" t="str">
        <f>"wk"&amp;MTBF_customer_ROW[[#This Row],[Week]]</f>
        <v>wk2440</v>
      </c>
      <c r="C18" s="93" cm="1">
        <f t="array" aca="1" ref="C18" ca="1">_xlfn.XLOOKUP(MTBF_customer_ROW[[#This Row],[Week]],INDIRECT("MTBF_"&amp;$B$1&amp;"[Week]"),INDIRECT("MTBF_"&amp;$B$1&amp;"[Productive time '[hrs']]"),0,0)</f>
        <v>0</v>
      </c>
      <c r="D18" s="93" cm="1">
        <f t="array" aca="1" ref="D18" ca="1">_xlfn.XLOOKUP(MTBF_customer_ROW[[#This Row],[Week]],INDIRECT("MTBF_"&amp;$B$1&amp;"[Week]"),INDIRECT("MTBF_"&amp;$B$1&amp;"[Uptime '[hrs']]"),0,0)</f>
        <v>0</v>
      </c>
      <c r="E18" s="89" cm="1">
        <f t="array" aca="1" ref="E18" ca="1">_xlfn.XLOOKUP(MTBF_customer_ROW[[#This Row],[Week]],INDIRECT("MTBF_"&amp;$B$1&amp;"[Week]"),INDIRECT("MTBF_"&amp;$B$1&amp;"[P hits]"),0,0)</f>
        <v>0</v>
      </c>
      <c r="F18" s="89" cm="1">
        <f t="array" aca="1" ref="F18" ca="1">_xlfn.XLOOKUP(MTBF_customer_ROW[[#This Row],[Week]],INDIRECT("MTBF_"&amp;$B$1&amp;"[Week]"),INDIRECT("MTBF_"&amp;$B$1&amp;"[U hits]"),0,0)</f>
        <v>0</v>
      </c>
      <c r="G18" s="95" cm="1">
        <f t="array" aca="1" ref="G18" ca="1">_xlfn.XLOOKUP(MTBF_customer_ROW[[#This Row],[Week]],INDIRECT("MTBF_"&amp;$B$1&amp;"[Week]"),INDIRECT("MTBF_"&amp;$B$1&amp;"[MTBFp 1wma]"),0,0)</f>
        <v>0</v>
      </c>
      <c r="H18" s="95" cm="1">
        <f t="array" aca="1" ref="H18" ca="1">_xlfn.XLOOKUP(MTBF_customer_ROW[[#This Row],[Week]],INDIRECT("MTBF_"&amp;$B$1&amp;"[Week]"),INDIRECT("MTBF_"&amp;$B$1&amp;"[MTBFp 4wma]"),0,0)</f>
        <v>0</v>
      </c>
      <c r="I18" s="95" cm="1">
        <f t="array" aca="1" ref="I18" ca="1">_xlfn.XLOOKUP(MTBF_customer_ROW[[#This Row],[Week]],INDIRECT("MTBF_"&amp;$B$1&amp;"[Week]"),INDIRECT("MTBF_"&amp;$B$1&amp;"[MTBFp 13wma]"),0,0)</f>
        <v>0</v>
      </c>
      <c r="J18" s="93" cm="1">
        <f t="array" aca="1" ref="J18" ca="1">_xlfn.XLOOKUP(MTBF_customer_ROW[[#This Row],[Week]],INDIRECT("MTBF_"&amp;$B$1&amp;"[Week]"),INDIRECT("MTBF_"&amp;$B$1&amp;"[MTBFu 1wma]"),0,0)</f>
        <v>0</v>
      </c>
      <c r="K18" s="95" cm="1">
        <f t="array" aca="1" ref="K18" ca="1">_xlfn.XLOOKUP(MTBF_customer_ROW[[#This Row],[Week]],INDIRECT("MTBF_"&amp;$B$1&amp;"[Week]"),INDIRECT("MTBF_"&amp;$B$1&amp;"[MTBFu 4wma]"),0,0)</f>
        <v>0</v>
      </c>
      <c r="L18" s="95" cm="1">
        <f t="array" aca="1" ref="L18" ca="1">_xlfn.XLOOKUP(MTBF_customer_ROW[[#This Row],[Week]],INDIRECT("MTBF_"&amp;$B$1&amp;"[Week]"),INDIRECT("MTBF_"&amp;$B$1&amp;"[MTBFu 13wma]"),0,0)</f>
        <v>0</v>
      </c>
      <c r="O18" s="89">
        <v>2440</v>
      </c>
      <c r="P18" s="89" t="str">
        <f>"wk"&amp;MTBF_RoW[[#This Row],[Week]]</f>
        <v>wk2440</v>
      </c>
      <c r="Q18" s="93" t="e" cm="1">
        <f t="array" aca="1" ref="Q18" ca="1">_xlfn.XLOOKUP(MTBF_RoW[[#This Row],[Week]],INDIRECT("MTBF_"&amp;$P$1&amp;"[Week]"),INDIRECT("MTBF_"&amp;$P$1&amp;"[Productive time '[hrs']]"),0,0)+_xlfn.XLOOKUP(MTBF_RoW[[#This Row],[Week]],INDIRECT("MTBF_"&amp;$Q$1&amp;"[Week]"),INDIRECT("MTBF_"&amp;$Q$1&amp;"[Productive time '[hrs']]"),0,0)</f>
        <v>#REF!</v>
      </c>
      <c r="R18" s="93" t="e" cm="1">
        <f t="array" aca="1" ref="R18" ca="1">_xlfn.XLOOKUP(MTBF_RoW[[#This Row],[Week]],INDIRECT("MTBF_"&amp;$P$1&amp;"[Week]"),INDIRECT("MTBF_"&amp;$P$1&amp;"[Uptime '[hrs']]"),0,0)+_xlfn.XLOOKUP(MTBF_RoW[[#This Row],[Week]],INDIRECT("MTBF_"&amp;$Q$1&amp;"[Week]"),INDIRECT("MTBF_"&amp;$Q$1&amp;"[Uptime '[hrs']]"),0,0)</f>
        <v>#REF!</v>
      </c>
      <c r="S18" s="89" t="e" cm="1">
        <f t="array" aca="1" ref="S18" ca="1">_xlfn.XLOOKUP(MTBF_RoW[[#This Row],[Week]],INDIRECT("MTBF_"&amp;$P$1&amp;"[Week]"),INDIRECT("MTBF_"&amp;$P$1&amp;"[P hits]"),0,0)+_xlfn.XLOOKUP(MTBF_RoW[[#This Row],[Week]],INDIRECT("MTBF_"&amp;$Q$1&amp;"[Week]"),INDIRECT("MTBF_"&amp;$Q$1&amp;"[P hits]"),0,0)</f>
        <v>#REF!</v>
      </c>
      <c r="T18" s="89" t="e" cm="1">
        <f t="array" aca="1" ref="T18" ca="1">_xlfn.XLOOKUP(MTBF_RoW[[#This Row],[Week]],INDIRECT("MTBF_"&amp;$P$1&amp;"[Week]"),INDIRECT("MTBF_"&amp;$P$1&amp;"[U hits]"),0,0)+_xlfn.XLOOKUP(MTBF_RoW[[#This Row],[Week]],INDIRECT("MTBF_"&amp;$Q$1&amp;"[Week]"),INDIRECT("MTBF_"&amp;$Q$1&amp;"[U hits]"),0,0)</f>
        <v>#REF!</v>
      </c>
      <c r="U18" s="93" t="e">
        <f ca="1">IF(MTBF_RoW[[#This Row],[P hits]]=0,MTBF_RoW[[#This Row],[Productive time '[hrs']]],MTBF_RoW[[#This Row],[Productive time '[hrs']]]/MTBF_RoW[[#This Row],[P hits]])</f>
        <v>#REF!</v>
      </c>
      <c r="V18" s="93" t="e">
        <f t="shared" ca="1" si="0"/>
        <v>#REF!</v>
      </c>
      <c r="W18" s="93"/>
      <c r="X18" s="93" t="e">
        <f ca="1">IF(MTBF_RoW[[#This Row],[U hits]]=0,MTBF_RoW[[#This Row],[Uptime '[hrs']]],MTBF_RoW[[#This Row],[Uptime '[hrs']]]/MTBF_RoW[[#This Row],[U hits]])</f>
        <v>#REF!</v>
      </c>
      <c r="Y18" s="93" t="e">
        <f t="shared" ca="1" si="1"/>
        <v>#REF!</v>
      </c>
      <c r="Z18" s="93"/>
      <c r="AC18" s="89">
        <v>2440</v>
      </c>
      <c r="AD18" s="89" t="str">
        <f t="shared" si="2"/>
        <v>wk2440</v>
      </c>
      <c r="AE18" s="93">
        <f ca="1">MTBF_customer_ROW[[#This Row],[MTBFp 1wma]]</f>
        <v>0</v>
      </c>
      <c r="AF18" s="93">
        <f ca="1">MTBF_customer_ROW[[#This Row],[MTBFp 4wma]]</f>
        <v>0</v>
      </c>
      <c r="AG18" s="93" t="e">
        <f ca="1">IF(MTBF_customer_ROW[[#This Row],[MTBFp 13wma]]=0,NA(),MTBF_customer_ROW[[#This Row],[MTBFp 13wma]])</f>
        <v>#N/A</v>
      </c>
      <c r="AH18" s="93" t="e">
        <f ca="1">MTBF_RoW[[#This Row],[MTBFp 1wma]]</f>
        <v>#REF!</v>
      </c>
      <c r="AI18" s="93" t="e">
        <f ca="1">MTBF_RoW[[#This Row],[MTBFp 4wma]]</f>
        <v>#REF!</v>
      </c>
      <c r="AJ18" s="93" t="e">
        <f>IF(MTBF_RoW[[#This Row],[MTBFp 13wma]]=0,NA(),MTBF_RoW[[#This Row],[MTBFp 13wma]])</f>
        <v>#N/A</v>
      </c>
    </row>
    <row r="19" spans="1:36">
      <c r="A19" s="89">
        <v>2441</v>
      </c>
      <c r="B19" s="89" t="str">
        <f>"wk"&amp;MTBF_customer_ROW[[#This Row],[Week]]</f>
        <v>wk2441</v>
      </c>
      <c r="C19" s="93" cm="1">
        <f t="array" aca="1" ref="C19" ca="1">_xlfn.XLOOKUP(MTBF_customer_ROW[[#This Row],[Week]],INDIRECT("MTBF_"&amp;$B$1&amp;"[Week]"),INDIRECT("MTBF_"&amp;$B$1&amp;"[Productive time '[hrs']]"),0,0)</f>
        <v>0</v>
      </c>
      <c r="D19" s="93" cm="1">
        <f t="array" aca="1" ref="D19" ca="1">_xlfn.XLOOKUP(MTBF_customer_ROW[[#This Row],[Week]],INDIRECT("MTBF_"&amp;$B$1&amp;"[Week]"),INDIRECT("MTBF_"&amp;$B$1&amp;"[Uptime '[hrs']]"),0,0)</f>
        <v>0</v>
      </c>
      <c r="E19" s="89" cm="1">
        <f t="array" aca="1" ref="E19" ca="1">_xlfn.XLOOKUP(MTBF_customer_ROW[[#This Row],[Week]],INDIRECT("MTBF_"&amp;$B$1&amp;"[Week]"),INDIRECT("MTBF_"&amp;$B$1&amp;"[P hits]"),0,0)</f>
        <v>0</v>
      </c>
      <c r="F19" s="89" cm="1">
        <f t="array" aca="1" ref="F19" ca="1">_xlfn.XLOOKUP(MTBF_customer_ROW[[#This Row],[Week]],INDIRECT("MTBF_"&amp;$B$1&amp;"[Week]"),INDIRECT("MTBF_"&amp;$B$1&amp;"[U hits]"),0,0)</f>
        <v>0</v>
      </c>
      <c r="G19" s="95" cm="1">
        <f t="array" aca="1" ref="G19" ca="1">_xlfn.XLOOKUP(MTBF_customer_ROW[[#This Row],[Week]],INDIRECT("MTBF_"&amp;$B$1&amp;"[Week]"),INDIRECT("MTBF_"&amp;$B$1&amp;"[MTBFp 1wma]"),0,0)</f>
        <v>0</v>
      </c>
      <c r="H19" s="95" cm="1">
        <f t="array" aca="1" ref="H19" ca="1">_xlfn.XLOOKUP(MTBF_customer_ROW[[#This Row],[Week]],INDIRECT("MTBF_"&amp;$B$1&amp;"[Week]"),INDIRECT("MTBF_"&amp;$B$1&amp;"[MTBFp 4wma]"),0,0)</f>
        <v>0</v>
      </c>
      <c r="I19" s="95" cm="1">
        <f t="array" aca="1" ref="I19" ca="1">_xlfn.XLOOKUP(MTBF_customer_ROW[[#This Row],[Week]],INDIRECT("MTBF_"&amp;$B$1&amp;"[Week]"),INDIRECT("MTBF_"&amp;$B$1&amp;"[MTBFp 13wma]"),0,0)</f>
        <v>0</v>
      </c>
      <c r="J19" s="93" cm="1">
        <f t="array" aca="1" ref="J19" ca="1">_xlfn.XLOOKUP(MTBF_customer_ROW[[#This Row],[Week]],INDIRECT("MTBF_"&amp;$B$1&amp;"[Week]"),INDIRECT("MTBF_"&amp;$B$1&amp;"[MTBFu 1wma]"),0,0)</f>
        <v>0</v>
      </c>
      <c r="K19" s="95" cm="1">
        <f t="array" aca="1" ref="K19" ca="1">_xlfn.XLOOKUP(MTBF_customer_ROW[[#This Row],[Week]],INDIRECT("MTBF_"&amp;$B$1&amp;"[Week]"),INDIRECT("MTBF_"&amp;$B$1&amp;"[MTBFu 4wma]"),0,0)</f>
        <v>0</v>
      </c>
      <c r="L19" s="95" cm="1">
        <f t="array" aca="1" ref="L19" ca="1">_xlfn.XLOOKUP(MTBF_customer_ROW[[#This Row],[Week]],INDIRECT("MTBF_"&amp;$B$1&amp;"[Week]"),INDIRECT("MTBF_"&amp;$B$1&amp;"[MTBFu 13wma]"),0,0)</f>
        <v>0</v>
      </c>
      <c r="O19" s="89">
        <v>2441</v>
      </c>
      <c r="P19" s="89" t="str">
        <f>"wk"&amp;MTBF_RoW[[#This Row],[Week]]</f>
        <v>wk2441</v>
      </c>
      <c r="Q19" s="93" t="e" cm="1">
        <f t="array" aca="1" ref="Q19" ca="1">_xlfn.XLOOKUP(MTBF_RoW[[#This Row],[Week]],INDIRECT("MTBF_"&amp;$P$1&amp;"[Week]"),INDIRECT("MTBF_"&amp;$P$1&amp;"[Productive time '[hrs']]"),0,0)+_xlfn.XLOOKUP(MTBF_RoW[[#This Row],[Week]],INDIRECT("MTBF_"&amp;$Q$1&amp;"[Week]"),INDIRECT("MTBF_"&amp;$Q$1&amp;"[Productive time '[hrs']]"),0,0)</f>
        <v>#REF!</v>
      </c>
      <c r="R19" s="93" t="e" cm="1">
        <f t="array" aca="1" ref="R19" ca="1">_xlfn.XLOOKUP(MTBF_RoW[[#This Row],[Week]],INDIRECT("MTBF_"&amp;$P$1&amp;"[Week]"),INDIRECT("MTBF_"&amp;$P$1&amp;"[Uptime '[hrs']]"),0,0)+_xlfn.XLOOKUP(MTBF_RoW[[#This Row],[Week]],INDIRECT("MTBF_"&amp;$Q$1&amp;"[Week]"),INDIRECT("MTBF_"&amp;$Q$1&amp;"[Uptime '[hrs']]"),0,0)</f>
        <v>#REF!</v>
      </c>
      <c r="S19" s="89" t="e" cm="1">
        <f t="array" aca="1" ref="S19" ca="1">_xlfn.XLOOKUP(MTBF_RoW[[#This Row],[Week]],INDIRECT("MTBF_"&amp;$P$1&amp;"[Week]"),INDIRECT("MTBF_"&amp;$P$1&amp;"[P hits]"),0,0)+_xlfn.XLOOKUP(MTBF_RoW[[#This Row],[Week]],INDIRECT("MTBF_"&amp;$Q$1&amp;"[Week]"),INDIRECT("MTBF_"&amp;$Q$1&amp;"[P hits]"),0,0)</f>
        <v>#REF!</v>
      </c>
      <c r="T19" s="89" t="e" cm="1">
        <f t="array" aca="1" ref="T19" ca="1">_xlfn.XLOOKUP(MTBF_RoW[[#This Row],[Week]],INDIRECT("MTBF_"&amp;$P$1&amp;"[Week]"),INDIRECT("MTBF_"&amp;$P$1&amp;"[U hits]"),0,0)+_xlfn.XLOOKUP(MTBF_RoW[[#This Row],[Week]],INDIRECT("MTBF_"&amp;$Q$1&amp;"[Week]"),INDIRECT("MTBF_"&amp;$Q$1&amp;"[U hits]"),0,0)</f>
        <v>#REF!</v>
      </c>
      <c r="U19" s="93" t="e">
        <f ca="1">IF(MTBF_RoW[[#This Row],[P hits]]=0,MTBF_RoW[[#This Row],[Productive time '[hrs']]],MTBF_RoW[[#This Row],[Productive time '[hrs']]]/MTBF_RoW[[#This Row],[P hits]])</f>
        <v>#REF!</v>
      </c>
      <c r="V19" s="93" t="e">
        <f t="shared" ca="1" si="0"/>
        <v>#REF!</v>
      </c>
      <c r="W19" s="93"/>
      <c r="X19" s="93" t="e">
        <f ca="1">IF(MTBF_RoW[[#This Row],[U hits]]=0,MTBF_RoW[[#This Row],[Uptime '[hrs']]],MTBF_RoW[[#This Row],[Uptime '[hrs']]]/MTBF_RoW[[#This Row],[U hits]])</f>
        <v>#REF!</v>
      </c>
      <c r="Y19" s="93" t="e">
        <f t="shared" ca="1" si="1"/>
        <v>#REF!</v>
      </c>
      <c r="Z19" s="93"/>
      <c r="AC19" s="89">
        <v>2441</v>
      </c>
      <c r="AD19" s="89" t="str">
        <f t="shared" si="2"/>
        <v>wk2441</v>
      </c>
      <c r="AE19" s="93">
        <f ca="1">MTBF_customer_ROW[[#This Row],[MTBFp 1wma]]</f>
        <v>0</v>
      </c>
      <c r="AF19" s="93">
        <f ca="1">MTBF_customer_ROW[[#This Row],[MTBFp 4wma]]</f>
        <v>0</v>
      </c>
      <c r="AG19" s="93" t="e">
        <f ca="1">IF(MTBF_customer_ROW[[#This Row],[MTBFp 13wma]]=0,NA(),MTBF_customer_ROW[[#This Row],[MTBFp 13wma]])</f>
        <v>#N/A</v>
      </c>
      <c r="AH19" s="93" t="e">
        <f ca="1">MTBF_RoW[[#This Row],[MTBFp 1wma]]</f>
        <v>#REF!</v>
      </c>
      <c r="AI19" s="93" t="e">
        <f ca="1">MTBF_RoW[[#This Row],[MTBFp 4wma]]</f>
        <v>#REF!</v>
      </c>
      <c r="AJ19" s="93" t="e">
        <f>IF(MTBF_RoW[[#This Row],[MTBFp 13wma]]=0,NA(),MTBF_RoW[[#This Row],[MTBFp 13wma]])</f>
        <v>#N/A</v>
      </c>
    </row>
    <row r="20" spans="1:36">
      <c r="A20" s="89">
        <v>2442</v>
      </c>
      <c r="B20" s="89" t="str">
        <f>"wk"&amp;MTBF_customer_ROW[[#This Row],[Week]]</f>
        <v>wk2442</v>
      </c>
      <c r="C20" s="93" cm="1">
        <f t="array" aca="1" ref="C20" ca="1">_xlfn.XLOOKUP(MTBF_customer_ROW[[#This Row],[Week]],INDIRECT("MTBF_"&amp;$B$1&amp;"[Week]"),INDIRECT("MTBF_"&amp;$B$1&amp;"[Productive time '[hrs']]"),0,0)</f>
        <v>0</v>
      </c>
      <c r="D20" s="93" cm="1">
        <f t="array" aca="1" ref="D20" ca="1">_xlfn.XLOOKUP(MTBF_customer_ROW[[#This Row],[Week]],INDIRECT("MTBF_"&amp;$B$1&amp;"[Week]"),INDIRECT("MTBF_"&amp;$B$1&amp;"[Uptime '[hrs']]"),0,0)</f>
        <v>0</v>
      </c>
      <c r="E20" s="89" cm="1">
        <f t="array" aca="1" ref="E20" ca="1">_xlfn.XLOOKUP(MTBF_customer_ROW[[#This Row],[Week]],INDIRECT("MTBF_"&amp;$B$1&amp;"[Week]"),INDIRECT("MTBF_"&amp;$B$1&amp;"[P hits]"),0,0)</f>
        <v>0</v>
      </c>
      <c r="F20" s="89" cm="1">
        <f t="array" aca="1" ref="F20" ca="1">_xlfn.XLOOKUP(MTBF_customer_ROW[[#This Row],[Week]],INDIRECT("MTBF_"&amp;$B$1&amp;"[Week]"),INDIRECT("MTBF_"&amp;$B$1&amp;"[U hits]"),0,0)</f>
        <v>0</v>
      </c>
      <c r="G20" s="95" cm="1">
        <f t="array" aca="1" ref="G20" ca="1">_xlfn.XLOOKUP(MTBF_customer_ROW[[#This Row],[Week]],INDIRECT("MTBF_"&amp;$B$1&amp;"[Week]"),INDIRECT("MTBF_"&amp;$B$1&amp;"[MTBFp 1wma]"),0,0)</f>
        <v>0</v>
      </c>
      <c r="H20" s="95" cm="1">
        <f t="array" aca="1" ref="H20" ca="1">_xlfn.XLOOKUP(MTBF_customer_ROW[[#This Row],[Week]],INDIRECT("MTBF_"&amp;$B$1&amp;"[Week]"),INDIRECT("MTBF_"&amp;$B$1&amp;"[MTBFp 4wma]"),0,0)</f>
        <v>0</v>
      </c>
      <c r="I20" s="95" cm="1">
        <f t="array" aca="1" ref="I20" ca="1">_xlfn.XLOOKUP(MTBF_customer_ROW[[#This Row],[Week]],INDIRECT("MTBF_"&amp;$B$1&amp;"[Week]"),INDIRECT("MTBF_"&amp;$B$1&amp;"[MTBFp 13wma]"),0,0)</f>
        <v>0</v>
      </c>
      <c r="J20" s="93" cm="1">
        <f t="array" aca="1" ref="J20" ca="1">_xlfn.XLOOKUP(MTBF_customer_ROW[[#This Row],[Week]],INDIRECT("MTBF_"&amp;$B$1&amp;"[Week]"),INDIRECT("MTBF_"&amp;$B$1&amp;"[MTBFu 1wma]"),0,0)</f>
        <v>0</v>
      </c>
      <c r="K20" s="95" cm="1">
        <f t="array" aca="1" ref="K20" ca="1">_xlfn.XLOOKUP(MTBF_customer_ROW[[#This Row],[Week]],INDIRECT("MTBF_"&amp;$B$1&amp;"[Week]"),INDIRECT("MTBF_"&amp;$B$1&amp;"[MTBFu 4wma]"),0,0)</f>
        <v>0</v>
      </c>
      <c r="L20" s="95" cm="1">
        <f t="array" aca="1" ref="L20" ca="1">_xlfn.XLOOKUP(MTBF_customer_ROW[[#This Row],[Week]],INDIRECT("MTBF_"&amp;$B$1&amp;"[Week]"),INDIRECT("MTBF_"&amp;$B$1&amp;"[MTBFu 13wma]"),0,0)</f>
        <v>0</v>
      </c>
      <c r="O20" s="89">
        <v>2442</v>
      </c>
      <c r="P20" s="89" t="str">
        <f>"wk"&amp;MTBF_RoW[[#This Row],[Week]]</f>
        <v>wk2442</v>
      </c>
      <c r="Q20" s="93" t="e" cm="1">
        <f t="array" aca="1" ref="Q20" ca="1">_xlfn.XLOOKUP(MTBF_RoW[[#This Row],[Week]],INDIRECT("MTBF_"&amp;$P$1&amp;"[Week]"),INDIRECT("MTBF_"&amp;$P$1&amp;"[Productive time '[hrs']]"),0,0)+_xlfn.XLOOKUP(MTBF_RoW[[#This Row],[Week]],INDIRECT("MTBF_"&amp;$Q$1&amp;"[Week]"),INDIRECT("MTBF_"&amp;$Q$1&amp;"[Productive time '[hrs']]"),0,0)</f>
        <v>#REF!</v>
      </c>
      <c r="R20" s="93" t="e" cm="1">
        <f t="array" aca="1" ref="R20" ca="1">_xlfn.XLOOKUP(MTBF_RoW[[#This Row],[Week]],INDIRECT("MTBF_"&amp;$P$1&amp;"[Week]"),INDIRECT("MTBF_"&amp;$P$1&amp;"[Uptime '[hrs']]"),0,0)+_xlfn.XLOOKUP(MTBF_RoW[[#This Row],[Week]],INDIRECT("MTBF_"&amp;$Q$1&amp;"[Week]"),INDIRECT("MTBF_"&amp;$Q$1&amp;"[Uptime '[hrs']]"),0,0)</f>
        <v>#REF!</v>
      </c>
      <c r="S20" s="89" t="e" cm="1">
        <f t="array" aca="1" ref="S20" ca="1">_xlfn.XLOOKUP(MTBF_RoW[[#This Row],[Week]],INDIRECT("MTBF_"&amp;$P$1&amp;"[Week]"),INDIRECT("MTBF_"&amp;$P$1&amp;"[P hits]"),0,0)+_xlfn.XLOOKUP(MTBF_RoW[[#This Row],[Week]],INDIRECT("MTBF_"&amp;$Q$1&amp;"[Week]"),INDIRECT("MTBF_"&amp;$Q$1&amp;"[P hits]"),0,0)</f>
        <v>#REF!</v>
      </c>
      <c r="T20" s="89" t="e" cm="1">
        <f t="array" aca="1" ref="T20" ca="1">_xlfn.XLOOKUP(MTBF_RoW[[#This Row],[Week]],INDIRECT("MTBF_"&amp;$P$1&amp;"[Week]"),INDIRECT("MTBF_"&amp;$P$1&amp;"[U hits]"),0,0)+_xlfn.XLOOKUP(MTBF_RoW[[#This Row],[Week]],INDIRECT("MTBF_"&amp;$Q$1&amp;"[Week]"),INDIRECT("MTBF_"&amp;$Q$1&amp;"[U hits]"),0,0)</f>
        <v>#REF!</v>
      </c>
      <c r="U20" s="93" t="e">
        <f ca="1">IF(MTBF_RoW[[#This Row],[P hits]]=0,MTBF_RoW[[#This Row],[Productive time '[hrs']]],MTBF_RoW[[#This Row],[Productive time '[hrs']]]/MTBF_RoW[[#This Row],[P hits]])</f>
        <v>#REF!</v>
      </c>
      <c r="V20" s="93" t="e">
        <f t="shared" ca="1" si="0"/>
        <v>#REF!</v>
      </c>
      <c r="W20" s="93"/>
      <c r="X20" s="93" t="e">
        <f ca="1">IF(MTBF_RoW[[#This Row],[U hits]]=0,MTBF_RoW[[#This Row],[Uptime '[hrs']]],MTBF_RoW[[#This Row],[Uptime '[hrs']]]/MTBF_RoW[[#This Row],[U hits]])</f>
        <v>#REF!</v>
      </c>
      <c r="Y20" s="93" t="e">
        <f t="shared" ca="1" si="1"/>
        <v>#REF!</v>
      </c>
      <c r="Z20" s="93"/>
      <c r="AC20" s="89">
        <v>2442</v>
      </c>
      <c r="AD20" s="89" t="str">
        <f t="shared" si="2"/>
        <v>wk2442</v>
      </c>
      <c r="AE20" s="93">
        <f ca="1">MTBF_customer_ROW[[#This Row],[MTBFp 1wma]]</f>
        <v>0</v>
      </c>
      <c r="AF20" s="93">
        <f ca="1">MTBF_customer_ROW[[#This Row],[MTBFp 4wma]]</f>
        <v>0</v>
      </c>
      <c r="AG20" s="93" t="e">
        <f ca="1">IF(MTBF_customer_ROW[[#This Row],[MTBFp 13wma]]=0,NA(),MTBF_customer_ROW[[#This Row],[MTBFp 13wma]])</f>
        <v>#N/A</v>
      </c>
      <c r="AH20" s="93" t="e">
        <f ca="1">MTBF_RoW[[#This Row],[MTBFp 1wma]]</f>
        <v>#REF!</v>
      </c>
      <c r="AI20" s="93" t="e">
        <f ca="1">MTBF_RoW[[#This Row],[MTBFp 4wma]]</f>
        <v>#REF!</v>
      </c>
      <c r="AJ20" s="93" t="e">
        <f>IF(MTBF_RoW[[#This Row],[MTBFp 13wma]]=0,NA(),MTBF_RoW[[#This Row],[MTBFp 13wma]])</f>
        <v>#N/A</v>
      </c>
    </row>
    <row r="21" spans="1:36">
      <c r="A21" s="89">
        <v>2443</v>
      </c>
      <c r="B21" s="89" t="str">
        <f>"wk"&amp;MTBF_customer_ROW[[#This Row],[Week]]</f>
        <v>wk2443</v>
      </c>
      <c r="C21" s="95" cm="1">
        <f t="array" aca="1" ref="C21" ca="1">_xlfn.XLOOKUP(MTBF_customer_ROW[[#This Row],[Week]],INDIRECT("MTBF_"&amp;$B$1&amp;"[Week]"),INDIRECT("MTBF_"&amp;$B$1&amp;"[Productive time '[hrs']]"),0,0)</f>
        <v>0</v>
      </c>
      <c r="D21" s="95" cm="1">
        <f t="array" aca="1" ref="D21" ca="1">_xlfn.XLOOKUP(MTBF_customer_ROW[[#This Row],[Week]],INDIRECT("MTBF_"&amp;$B$1&amp;"[Week]"),INDIRECT("MTBF_"&amp;$B$1&amp;"[Uptime '[hrs']]"),0,0)</f>
        <v>0</v>
      </c>
      <c r="E21" s="93" cm="1">
        <f t="array" aca="1" ref="E21" ca="1">_xlfn.XLOOKUP(MTBF_customer_ROW[[#This Row],[Week]],INDIRECT("MTBF_"&amp;$B$1&amp;"[Week]"),INDIRECT("MTBF_"&amp;$B$1&amp;"[P hits]"),0,0)</f>
        <v>0</v>
      </c>
      <c r="F21" s="93" cm="1">
        <f t="array" aca="1" ref="F21" ca="1">_xlfn.XLOOKUP(MTBF_customer_ROW[[#This Row],[Week]],INDIRECT("MTBF_"&amp;$B$1&amp;"[Week]"),INDIRECT("MTBF_"&amp;$B$1&amp;"[U hits]"),0,0)</f>
        <v>0</v>
      </c>
      <c r="G21" s="95" cm="1">
        <f t="array" aca="1" ref="G21" ca="1">_xlfn.XLOOKUP(MTBF_customer_ROW[[#This Row],[Week]],INDIRECT("MTBF_"&amp;$B$1&amp;"[Week]"),INDIRECT("MTBF_"&amp;$B$1&amp;"[MTBFp 1wma]"),0,0)</f>
        <v>0</v>
      </c>
      <c r="H21" s="95" cm="1">
        <f t="array" aca="1" ref="H21" ca="1">_xlfn.XLOOKUP(MTBF_customer_ROW[[#This Row],[Week]],INDIRECT("MTBF_"&amp;$B$1&amp;"[Week]"),INDIRECT("MTBF_"&amp;$B$1&amp;"[MTBFp 4wma]"),0,0)</f>
        <v>0</v>
      </c>
      <c r="I21" s="95" cm="1">
        <f t="array" aca="1" ref="I21" ca="1">_xlfn.XLOOKUP(MTBF_customer_ROW[[#This Row],[Week]],INDIRECT("MTBF_"&amp;$B$1&amp;"[Week]"),INDIRECT("MTBF_"&amp;$B$1&amp;"[MTBFp 13wma]"),0,0)</f>
        <v>0</v>
      </c>
      <c r="J21" s="93" cm="1">
        <f t="array" aca="1" ref="J21" ca="1">_xlfn.XLOOKUP(MTBF_customer_ROW[[#This Row],[Week]],INDIRECT("MTBF_"&amp;$B$1&amp;"[Week]"),INDIRECT("MTBF_"&amp;$B$1&amp;"[MTBFu 1wma]"),0,0)</f>
        <v>0</v>
      </c>
      <c r="K21" s="95" cm="1">
        <f t="array" aca="1" ref="K21" ca="1">_xlfn.XLOOKUP(MTBF_customer_ROW[[#This Row],[Week]],INDIRECT("MTBF_"&amp;$B$1&amp;"[Week]"),INDIRECT("MTBF_"&amp;$B$1&amp;"[MTBFu 4wma]"),0,0)</f>
        <v>0</v>
      </c>
      <c r="L21" s="95" cm="1">
        <f t="array" aca="1" ref="L21" ca="1">_xlfn.XLOOKUP(MTBF_customer_ROW[[#This Row],[Week]],INDIRECT("MTBF_"&amp;$B$1&amp;"[Week]"),INDIRECT("MTBF_"&amp;$B$1&amp;"[MTBFu 13wma]"),0,0)</f>
        <v>0</v>
      </c>
      <c r="O21" s="89">
        <v>2443</v>
      </c>
      <c r="P21" s="89" t="str">
        <f>"wk"&amp;MTBF_RoW[[#This Row],[Week]]</f>
        <v>wk2443</v>
      </c>
      <c r="Q21" s="93" t="e" cm="1">
        <f t="array" aca="1" ref="Q21" ca="1">_xlfn.XLOOKUP(MTBF_RoW[[#This Row],[Week]],INDIRECT("MTBF_"&amp;$P$1&amp;"[Week]"),INDIRECT("MTBF_"&amp;$P$1&amp;"[Productive time '[hrs']]"),0,0)+_xlfn.XLOOKUP(MTBF_RoW[[#This Row],[Week]],INDIRECT("MTBF_"&amp;$Q$1&amp;"[Week]"),INDIRECT("MTBF_"&amp;$Q$1&amp;"[Productive time '[hrs']]"),0,0)</f>
        <v>#REF!</v>
      </c>
      <c r="R21" s="93" t="e" cm="1">
        <f t="array" aca="1" ref="R21" ca="1">_xlfn.XLOOKUP(MTBF_RoW[[#This Row],[Week]],INDIRECT("MTBF_"&amp;$P$1&amp;"[Week]"),INDIRECT("MTBF_"&amp;$P$1&amp;"[Uptime '[hrs']]"),0,0)+_xlfn.XLOOKUP(MTBF_RoW[[#This Row],[Week]],INDIRECT("MTBF_"&amp;$Q$1&amp;"[Week]"),INDIRECT("MTBF_"&amp;$Q$1&amp;"[Uptime '[hrs']]"),0,0)</f>
        <v>#REF!</v>
      </c>
      <c r="S21" s="89" t="e" cm="1">
        <f t="array" aca="1" ref="S21" ca="1">_xlfn.XLOOKUP(MTBF_RoW[[#This Row],[Week]],INDIRECT("MTBF_"&amp;$P$1&amp;"[Week]"),INDIRECT("MTBF_"&amp;$P$1&amp;"[P hits]"),0,0)+_xlfn.XLOOKUP(MTBF_RoW[[#This Row],[Week]],INDIRECT("MTBF_"&amp;$Q$1&amp;"[Week]"),INDIRECT("MTBF_"&amp;$Q$1&amp;"[P hits]"),0,0)</f>
        <v>#REF!</v>
      </c>
      <c r="T21" s="89" t="e" cm="1">
        <f t="array" aca="1" ref="T21" ca="1">_xlfn.XLOOKUP(MTBF_RoW[[#This Row],[Week]],INDIRECT("MTBF_"&amp;$P$1&amp;"[Week]"),INDIRECT("MTBF_"&amp;$P$1&amp;"[U hits]"),0,0)+_xlfn.XLOOKUP(MTBF_RoW[[#This Row],[Week]],INDIRECT("MTBF_"&amp;$Q$1&amp;"[Week]"),INDIRECT("MTBF_"&amp;$Q$1&amp;"[U hits]"),0,0)</f>
        <v>#REF!</v>
      </c>
      <c r="U21" s="93" t="e">
        <f ca="1">IF(MTBF_RoW[[#This Row],[P hits]]=0,MTBF_RoW[[#This Row],[Productive time '[hrs']]],MTBF_RoW[[#This Row],[Productive time '[hrs']]]/MTBF_RoW[[#This Row],[P hits]])</f>
        <v>#REF!</v>
      </c>
      <c r="V21" s="93" t="e">
        <f t="shared" ca="1" si="0"/>
        <v>#REF!</v>
      </c>
      <c r="W21" s="93"/>
      <c r="X21" s="93" t="e">
        <f ca="1">IF(MTBF_RoW[[#This Row],[U hits]]=0,MTBF_RoW[[#This Row],[Uptime '[hrs']]],MTBF_RoW[[#This Row],[Uptime '[hrs']]]/MTBF_RoW[[#This Row],[U hits]])</f>
        <v>#REF!</v>
      </c>
      <c r="Y21" s="93" t="e">
        <f t="shared" ca="1" si="1"/>
        <v>#REF!</v>
      </c>
      <c r="Z21" s="93"/>
      <c r="AC21" s="89">
        <v>2443</v>
      </c>
      <c r="AD21" s="89" t="str">
        <f t="shared" si="2"/>
        <v>wk2443</v>
      </c>
      <c r="AE21" s="93">
        <f ca="1">MTBF_customer_ROW[[#This Row],[MTBFp 1wma]]</f>
        <v>0</v>
      </c>
      <c r="AF21" s="93">
        <f ca="1">MTBF_customer_ROW[[#This Row],[MTBFp 4wma]]</f>
        <v>0</v>
      </c>
      <c r="AG21" s="93" t="e">
        <f ca="1">IF(MTBF_customer_ROW[[#This Row],[MTBFp 13wma]]=0,NA(),MTBF_customer_ROW[[#This Row],[MTBFp 13wma]])</f>
        <v>#N/A</v>
      </c>
      <c r="AH21" s="93" t="e">
        <f ca="1">MTBF_RoW[[#This Row],[MTBFp 1wma]]</f>
        <v>#REF!</v>
      </c>
      <c r="AI21" s="93" t="e">
        <f ca="1">MTBF_RoW[[#This Row],[MTBFp 4wma]]</f>
        <v>#REF!</v>
      </c>
      <c r="AJ21" s="93" t="e">
        <f>IF(MTBF_RoW[[#This Row],[MTBFp 13wma]]=0,NA(),MTBF_RoW[[#This Row],[MTBFp 13wma]])</f>
        <v>#N/A</v>
      </c>
    </row>
    <row r="22" spans="1:36">
      <c r="A22" s="89">
        <v>2444</v>
      </c>
      <c r="B22" s="89" t="str">
        <f>"wk"&amp;MTBF_customer_ROW[[#This Row],[Week]]</f>
        <v>wk2444</v>
      </c>
      <c r="C22" s="93" cm="1">
        <f t="array" aca="1" ref="C22" ca="1">_xlfn.XLOOKUP(MTBF_customer_ROW[[#This Row],[Week]],INDIRECT("MTBF_"&amp;$B$1&amp;"[Week]"),INDIRECT("MTBF_"&amp;$B$1&amp;"[Productive time '[hrs']]"),0,0)</f>
        <v>0</v>
      </c>
      <c r="D22" s="93" cm="1">
        <f t="array" aca="1" ref="D22" ca="1">_xlfn.XLOOKUP(MTBF_customer_ROW[[#This Row],[Week]],INDIRECT("MTBF_"&amp;$B$1&amp;"[Week]"),INDIRECT("MTBF_"&amp;$B$1&amp;"[Uptime '[hrs']]"),0,0)</f>
        <v>0</v>
      </c>
      <c r="E22" s="89" cm="1">
        <f t="array" aca="1" ref="E22" ca="1">_xlfn.XLOOKUP(MTBF_customer_ROW[[#This Row],[Week]],INDIRECT("MTBF_"&amp;$B$1&amp;"[Week]"),INDIRECT("MTBF_"&amp;$B$1&amp;"[P hits]"),0,0)</f>
        <v>0</v>
      </c>
      <c r="F22" s="89" cm="1">
        <f t="array" aca="1" ref="F22" ca="1">_xlfn.XLOOKUP(MTBF_customer_ROW[[#This Row],[Week]],INDIRECT("MTBF_"&amp;$B$1&amp;"[Week]"),INDIRECT("MTBF_"&amp;$B$1&amp;"[U hits]"),0,0)</f>
        <v>0</v>
      </c>
      <c r="G22" s="93" cm="1">
        <f t="array" aca="1" ref="G22" ca="1">_xlfn.XLOOKUP(MTBF_customer_ROW[[#This Row],[Week]],INDIRECT("MTBF_"&amp;$B$1&amp;"[Week]"),INDIRECT("MTBF_"&amp;$B$1&amp;"[MTBFp 1wma]"),0,0)</f>
        <v>0</v>
      </c>
      <c r="H22" s="95" cm="1">
        <f t="array" aca="1" ref="H22" ca="1">_xlfn.XLOOKUP(MTBF_customer_ROW[[#This Row],[Week]],INDIRECT("MTBF_"&amp;$B$1&amp;"[Week]"),INDIRECT("MTBF_"&amp;$B$1&amp;"[MTBFp 4wma]"),0,0)</f>
        <v>0</v>
      </c>
      <c r="I22" s="95" cm="1">
        <f t="array" aca="1" ref="I22" ca="1">_xlfn.XLOOKUP(MTBF_customer_ROW[[#This Row],[Week]],INDIRECT("MTBF_"&amp;$B$1&amp;"[Week]"),INDIRECT("MTBF_"&amp;$B$1&amp;"[MTBFp 13wma]"),0,0)</f>
        <v>0</v>
      </c>
      <c r="J22" s="95" cm="1">
        <f t="array" aca="1" ref="J22" ca="1">_xlfn.XLOOKUP(MTBF_customer_ROW[[#This Row],[Week]],INDIRECT("MTBF_"&amp;$B$1&amp;"[Week]"),INDIRECT("MTBF_"&amp;$B$1&amp;"[MTBFu 1wma]"),0,0)</f>
        <v>0</v>
      </c>
      <c r="K22" s="95" cm="1">
        <f t="array" aca="1" ref="K22" ca="1">_xlfn.XLOOKUP(MTBF_customer_ROW[[#This Row],[Week]],INDIRECT("MTBF_"&amp;$B$1&amp;"[Week]"),INDIRECT("MTBF_"&amp;$B$1&amp;"[MTBFu 4wma]"),0,0)</f>
        <v>0</v>
      </c>
      <c r="L22" s="95" cm="1">
        <f t="array" aca="1" ref="L22" ca="1">_xlfn.XLOOKUP(MTBF_customer_ROW[[#This Row],[Week]],INDIRECT("MTBF_"&amp;$B$1&amp;"[Week]"),INDIRECT("MTBF_"&amp;$B$1&amp;"[MTBFu 13wma]"),0,0)</f>
        <v>0</v>
      </c>
      <c r="O22" s="89">
        <v>2444</v>
      </c>
      <c r="P22" s="89" t="str">
        <f>"wk"&amp;MTBF_RoW[[#This Row],[Week]]</f>
        <v>wk2444</v>
      </c>
      <c r="Q22" s="93" t="e" cm="1">
        <f t="array" aca="1" ref="Q22" ca="1">_xlfn.XLOOKUP(MTBF_RoW[[#This Row],[Week]],INDIRECT("MTBF_"&amp;$P$1&amp;"[Week]"),INDIRECT("MTBF_"&amp;$P$1&amp;"[Productive time '[hrs']]"),0,0)+_xlfn.XLOOKUP(MTBF_RoW[[#This Row],[Week]],INDIRECT("MTBF_"&amp;$Q$1&amp;"[Week]"),INDIRECT("MTBF_"&amp;$Q$1&amp;"[Productive time '[hrs']]"),0,0)</f>
        <v>#REF!</v>
      </c>
      <c r="R22" s="93" t="e" cm="1">
        <f t="array" aca="1" ref="R22" ca="1">_xlfn.XLOOKUP(MTBF_RoW[[#This Row],[Week]],INDIRECT("MTBF_"&amp;$P$1&amp;"[Week]"),INDIRECT("MTBF_"&amp;$P$1&amp;"[Uptime '[hrs']]"),0,0)+_xlfn.XLOOKUP(MTBF_RoW[[#This Row],[Week]],INDIRECT("MTBF_"&amp;$Q$1&amp;"[Week]"),INDIRECT("MTBF_"&amp;$Q$1&amp;"[Uptime '[hrs']]"),0,0)</f>
        <v>#REF!</v>
      </c>
      <c r="S22" s="89" t="e" cm="1">
        <f t="array" aca="1" ref="S22" ca="1">_xlfn.XLOOKUP(MTBF_RoW[[#This Row],[Week]],INDIRECT("MTBF_"&amp;$P$1&amp;"[Week]"),INDIRECT("MTBF_"&amp;$P$1&amp;"[P hits]"),0,0)+_xlfn.XLOOKUP(MTBF_RoW[[#This Row],[Week]],INDIRECT("MTBF_"&amp;$Q$1&amp;"[Week]"),INDIRECT("MTBF_"&amp;$Q$1&amp;"[P hits]"),0,0)</f>
        <v>#REF!</v>
      </c>
      <c r="T22" s="89" t="e" cm="1">
        <f t="array" aca="1" ref="T22" ca="1">_xlfn.XLOOKUP(MTBF_RoW[[#This Row],[Week]],INDIRECT("MTBF_"&amp;$P$1&amp;"[Week]"),INDIRECT("MTBF_"&amp;$P$1&amp;"[U hits]"),0,0)+_xlfn.XLOOKUP(MTBF_RoW[[#This Row],[Week]],INDIRECT("MTBF_"&amp;$Q$1&amp;"[Week]"),INDIRECT("MTBF_"&amp;$Q$1&amp;"[U hits]"),0,0)</f>
        <v>#REF!</v>
      </c>
      <c r="U22" s="93" t="e">
        <f ca="1">IF(MTBF_RoW[[#This Row],[P hits]]=0,MTBF_RoW[[#This Row],[Productive time '[hrs']]],MTBF_RoW[[#This Row],[Productive time '[hrs']]]/MTBF_RoW[[#This Row],[P hits]])</f>
        <v>#REF!</v>
      </c>
      <c r="V22" s="93" t="e">
        <f ca="1">IF(SUM(S19:S22)=0,SUM(Q19:Q22),SUM(Q19:Q22)/SUM(S19:S22))</f>
        <v>#REF!</v>
      </c>
      <c r="W22" s="93"/>
      <c r="X22" s="93" t="e">
        <f ca="1">IF(MTBF_RoW[[#This Row],[U hits]]=0,MTBF_RoW[[#This Row],[Uptime '[hrs']]],MTBF_RoW[[#This Row],[Uptime '[hrs']]]/MTBF_RoW[[#This Row],[U hits]])</f>
        <v>#REF!</v>
      </c>
      <c r="Y22" s="93" t="e">
        <f ca="1">IF(SUM(T19:T22)=0,SUM(R19:R22),SUM(R19:R22)/SUM(T19:T22))</f>
        <v>#REF!</v>
      </c>
      <c r="Z22" s="93"/>
      <c r="AC22" s="89">
        <v>2444</v>
      </c>
      <c r="AD22" s="89" t="str">
        <f t="shared" ref="AD22:AD27" si="3">"wk"&amp;AC22</f>
        <v>wk2444</v>
      </c>
      <c r="AE22" s="93">
        <f ca="1">MTBF_customer_ROW[[#This Row],[MTBFp 1wma]]</f>
        <v>0</v>
      </c>
      <c r="AF22" s="93">
        <f ca="1">MTBF_customer_ROW[[#This Row],[MTBFp 4wma]]</f>
        <v>0</v>
      </c>
      <c r="AG22" s="93" t="e">
        <f ca="1">IF(MTBF_customer_ROW[[#This Row],[MTBFp 13wma]]=0,NA(),MTBF_customer_ROW[[#This Row],[MTBFp 13wma]])</f>
        <v>#N/A</v>
      </c>
      <c r="AH22" s="93" t="e">
        <f ca="1">MTBF_RoW[[#This Row],[MTBFp 1wma]]</f>
        <v>#REF!</v>
      </c>
      <c r="AI22" s="93" t="e">
        <f ca="1">MTBF_RoW[[#This Row],[MTBFp 4wma]]</f>
        <v>#REF!</v>
      </c>
      <c r="AJ22" s="93" t="e">
        <f>IF(MTBF_RoW[[#This Row],[MTBFp 13wma]]=0,NA(),MTBF_RoW[[#This Row],[MTBFp 13wma]])</f>
        <v>#N/A</v>
      </c>
    </row>
    <row r="23" spans="1:36">
      <c r="A23" s="89">
        <v>2445</v>
      </c>
      <c r="B23" s="89" t="str">
        <f>"wk"&amp;MTBF_customer_ROW[[#This Row],[Week]]</f>
        <v>wk2445</v>
      </c>
      <c r="C23" s="93" cm="1">
        <f t="array" aca="1" ref="C23" ca="1">_xlfn.XLOOKUP(MTBF_customer_ROW[[#This Row],[Week]],INDIRECT("MTBF_"&amp;$B$1&amp;"[Week]"),INDIRECT("MTBF_"&amp;$B$1&amp;"[Productive time '[hrs']]"),0,0)</f>
        <v>0</v>
      </c>
      <c r="D23" s="93" cm="1">
        <f t="array" aca="1" ref="D23" ca="1">_xlfn.XLOOKUP(MTBF_customer_ROW[[#This Row],[Week]],INDIRECT("MTBF_"&amp;$B$1&amp;"[Week]"),INDIRECT("MTBF_"&amp;$B$1&amp;"[Uptime '[hrs']]"),0,0)</f>
        <v>0</v>
      </c>
      <c r="E23" s="89" cm="1">
        <f t="array" aca="1" ref="E23" ca="1">_xlfn.XLOOKUP(MTBF_customer_ROW[[#This Row],[Week]],INDIRECT("MTBF_"&amp;$B$1&amp;"[Week]"),INDIRECT("MTBF_"&amp;$B$1&amp;"[P hits]"),0,0)</f>
        <v>0</v>
      </c>
      <c r="F23" s="89" cm="1">
        <f t="array" aca="1" ref="F23" ca="1">_xlfn.XLOOKUP(MTBF_customer_ROW[[#This Row],[Week]],INDIRECT("MTBF_"&amp;$B$1&amp;"[Week]"),INDIRECT("MTBF_"&amp;$B$1&amp;"[U hits]"),0,0)</f>
        <v>0</v>
      </c>
      <c r="G23" s="93" cm="1">
        <f t="array" aca="1" ref="G23" ca="1">_xlfn.XLOOKUP(MTBF_customer_ROW[[#This Row],[Week]],INDIRECT("MTBF_"&amp;$B$1&amp;"[Week]"),INDIRECT("MTBF_"&amp;$B$1&amp;"[MTBFp 1wma]"),0,0)</f>
        <v>0</v>
      </c>
      <c r="H23" s="95" cm="1">
        <f t="array" aca="1" ref="H23" ca="1">_xlfn.XLOOKUP(MTBF_customer_ROW[[#This Row],[Week]],INDIRECT("MTBF_"&amp;$B$1&amp;"[Week]"),INDIRECT("MTBF_"&amp;$B$1&amp;"[MTBFp 4wma]"),0,0)</f>
        <v>0</v>
      </c>
      <c r="I23" s="95" cm="1">
        <f t="array" aca="1" ref="I23" ca="1">_xlfn.XLOOKUP(MTBF_customer_ROW[[#This Row],[Week]],INDIRECT("MTBF_"&amp;$B$1&amp;"[Week]"),INDIRECT("MTBF_"&amp;$B$1&amp;"[MTBFp 13wma]"),0,0)</f>
        <v>0</v>
      </c>
      <c r="J23" s="95" cm="1">
        <f t="array" aca="1" ref="J23" ca="1">_xlfn.XLOOKUP(MTBF_customer_ROW[[#This Row],[Week]],INDIRECT("MTBF_"&amp;$B$1&amp;"[Week]"),INDIRECT("MTBF_"&amp;$B$1&amp;"[MTBFu 1wma]"),0,0)</f>
        <v>0</v>
      </c>
      <c r="K23" s="95" cm="1">
        <f t="array" aca="1" ref="K23" ca="1">_xlfn.XLOOKUP(MTBF_customer_ROW[[#This Row],[Week]],INDIRECT("MTBF_"&amp;$B$1&amp;"[Week]"),INDIRECT("MTBF_"&amp;$B$1&amp;"[MTBFu 4wma]"),0,0)</f>
        <v>0</v>
      </c>
      <c r="L23" s="95" cm="1">
        <f t="array" aca="1" ref="L23" ca="1">_xlfn.XLOOKUP(MTBF_customer_ROW[[#This Row],[Week]],INDIRECT("MTBF_"&amp;$B$1&amp;"[Week]"),INDIRECT("MTBF_"&amp;$B$1&amp;"[MTBFu 13wma]"),0,0)</f>
        <v>0</v>
      </c>
      <c r="O23" s="89">
        <v>2445</v>
      </c>
      <c r="P23" s="89" t="str">
        <f>"wk"&amp;MTBF_RoW[[#This Row],[Week]]</f>
        <v>wk2445</v>
      </c>
      <c r="Q23" s="93" t="e" cm="1">
        <f t="array" aca="1" ref="Q23" ca="1">_xlfn.XLOOKUP(MTBF_RoW[[#This Row],[Week]],INDIRECT("MTBF_"&amp;$P$1&amp;"[Week]"),INDIRECT("MTBF_"&amp;$P$1&amp;"[Productive time '[hrs']]"),0,0)+_xlfn.XLOOKUP(MTBF_RoW[[#This Row],[Week]],INDIRECT("MTBF_"&amp;$Q$1&amp;"[Week]"),INDIRECT("MTBF_"&amp;$Q$1&amp;"[Productive time '[hrs']]"),0,0)</f>
        <v>#REF!</v>
      </c>
      <c r="R23" s="93" t="e" cm="1">
        <f t="array" aca="1" ref="R23" ca="1">_xlfn.XLOOKUP(MTBF_RoW[[#This Row],[Week]],INDIRECT("MTBF_"&amp;$P$1&amp;"[Week]"),INDIRECT("MTBF_"&amp;$P$1&amp;"[Uptime '[hrs']]"),0,0)+_xlfn.XLOOKUP(MTBF_RoW[[#This Row],[Week]],INDIRECT("MTBF_"&amp;$Q$1&amp;"[Week]"),INDIRECT("MTBF_"&amp;$Q$1&amp;"[Uptime '[hrs']]"),0,0)</f>
        <v>#REF!</v>
      </c>
      <c r="S23" s="89" t="e" cm="1">
        <f t="array" aca="1" ref="S23" ca="1">_xlfn.XLOOKUP(MTBF_RoW[[#This Row],[Week]],INDIRECT("MTBF_"&amp;$P$1&amp;"[Week]"),INDIRECT("MTBF_"&amp;$P$1&amp;"[P hits]"),0,0)+_xlfn.XLOOKUP(MTBF_RoW[[#This Row],[Week]],INDIRECT("MTBF_"&amp;$Q$1&amp;"[Week]"),INDIRECT("MTBF_"&amp;$Q$1&amp;"[P hits]"),0,0)</f>
        <v>#REF!</v>
      </c>
      <c r="T23" s="89" t="e" cm="1">
        <f t="array" aca="1" ref="T23" ca="1">_xlfn.XLOOKUP(MTBF_RoW[[#This Row],[Week]],INDIRECT("MTBF_"&amp;$P$1&amp;"[Week]"),INDIRECT("MTBF_"&amp;$P$1&amp;"[U hits]"),0,0)+_xlfn.XLOOKUP(MTBF_RoW[[#This Row],[Week]],INDIRECT("MTBF_"&amp;$Q$1&amp;"[Week]"),INDIRECT("MTBF_"&amp;$Q$1&amp;"[U hits]"),0,0)</f>
        <v>#REF!</v>
      </c>
      <c r="U23" s="93" t="e">
        <f ca="1">IF(MTBF_RoW[[#This Row],[P hits]]=0,MTBF_RoW[[#This Row],[Productive time '[hrs']]],MTBF_RoW[[#This Row],[Productive time '[hrs']]]/MTBF_RoW[[#This Row],[P hits]])</f>
        <v>#REF!</v>
      </c>
      <c r="V23" s="93" t="e">
        <f ca="1">IF(SUM(S20:S23)=0,SUM(Q20:Q23),SUM(Q20:Q23)/SUM(S20:S23))</f>
        <v>#REF!</v>
      </c>
      <c r="W23" s="93"/>
      <c r="X23" s="93" t="e">
        <f ca="1">IF(MTBF_RoW[[#This Row],[U hits]]=0,MTBF_RoW[[#This Row],[Uptime '[hrs']]],MTBF_RoW[[#This Row],[Uptime '[hrs']]]/MTBF_RoW[[#This Row],[U hits]])</f>
        <v>#REF!</v>
      </c>
      <c r="Y23" s="93" t="e">
        <f ca="1">IF(SUM(T20:T23)=0,SUM(R20:R23),SUM(R20:R23)/SUM(T20:T23))</f>
        <v>#REF!</v>
      </c>
      <c r="Z23" s="93"/>
      <c r="AC23" s="89">
        <v>2445</v>
      </c>
      <c r="AD23" s="89" t="str">
        <f t="shared" si="3"/>
        <v>wk2445</v>
      </c>
      <c r="AE23" s="93">
        <f ca="1">MTBF_customer_ROW[[#This Row],[MTBFp 1wma]]</f>
        <v>0</v>
      </c>
      <c r="AF23" s="93">
        <f ca="1">MTBF_customer_ROW[[#This Row],[MTBFp 4wma]]</f>
        <v>0</v>
      </c>
      <c r="AG23" s="93" t="e">
        <f ca="1">IF(MTBF_customer_ROW[[#This Row],[MTBFp 13wma]]=0,NA(),MTBF_customer_ROW[[#This Row],[MTBFp 13wma]])</f>
        <v>#N/A</v>
      </c>
      <c r="AH23" s="93" t="e">
        <f ca="1">MTBF_RoW[[#This Row],[MTBFp 1wma]]</f>
        <v>#REF!</v>
      </c>
      <c r="AI23" s="93" t="e">
        <f ca="1">MTBF_RoW[[#This Row],[MTBFp 4wma]]</f>
        <v>#REF!</v>
      </c>
      <c r="AJ23" s="93" t="e">
        <f>IF(MTBF_RoW[[#This Row],[MTBFp 13wma]]=0,NA(),MTBF_RoW[[#This Row],[MTBFp 13wma]])</f>
        <v>#N/A</v>
      </c>
    </row>
    <row r="24" spans="1:36">
      <c r="A24" s="89">
        <v>2446</v>
      </c>
      <c r="B24" s="89" t="str">
        <f>"wk"&amp;MTBF_customer_ROW[[#This Row],[Week]]</f>
        <v>wk2446</v>
      </c>
      <c r="C24" s="93" cm="1">
        <f t="array" aca="1" ref="C24" ca="1">_xlfn.XLOOKUP(MTBF_customer_ROW[[#This Row],[Week]],INDIRECT("MTBF_"&amp;$B$1&amp;"[Week]"),INDIRECT("MTBF_"&amp;$B$1&amp;"[Productive time '[hrs']]"),0,0)</f>
        <v>0</v>
      </c>
      <c r="D24" s="93" cm="1">
        <f t="array" aca="1" ref="D24" ca="1">_xlfn.XLOOKUP(MTBF_customer_ROW[[#This Row],[Week]],INDIRECT("MTBF_"&amp;$B$1&amp;"[Week]"),INDIRECT("MTBF_"&amp;$B$1&amp;"[Uptime '[hrs']]"),0,0)</f>
        <v>0</v>
      </c>
      <c r="E24" s="89" cm="1">
        <f t="array" aca="1" ref="E24" ca="1">_xlfn.XLOOKUP(MTBF_customer_ROW[[#This Row],[Week]],INDIRECT("MTBF_"&amp;$B$1&amp;"[Week]"),INDIRECT("MTBF_"&amp;$B$1&amp;"[P hits]"),0,0)</f>
        <v>0</v>
      </c>
      <c r="F24" s="89" cm="1">
        <f t="array" aca="1" ref="F24" ca="1">_xlfn.XLOOKUP(MTBF_customer_ROW[[#This Row],[Week]],INDIRECT("MTBF_"&amp;$B$1&amp;"[Week]"),INDIRECT("MTBF_"&amp;$B$1&amp;"[U hits]"),0,0)</f>
        <v>0</v>
      </c>
      <c r="G24" s="93" cm="1">
        <f t="array" aca="1" ref="G24" ca="1">_xlfn.XLOOKUP(MTBF_customer_ROW[[#This Row],[Week]],INDIRECT("MTBF_"&amp;$B$1&amp;"[Week]"),INDIRECT("MTBF_"&amp;$B$1&amp;"[MTBFp 1wma]"),0,0)</f>
        <v>0</v>
      </c>
      <c r="H24" s="95" cm="1">
        <f t="array" aca="1" ref="H24" ca="1">_xlfn.XLOOKUP(MTBF_customer_ROW[[#This Row],[Week]],INDIRECT("MTBF_"&amp;$B$1&amp;"[Week]"),INDIRECT("MTBF_"&amp;$B$1&amp;"[MTBFp 4wma]"),0,0)</f>
        <v>0</v>
      </c>
      <c r="I24" s="95" cm="1">
        <f t="array" aca="1" ref="I24" ca="1">_xlfn.XLOOKUP(MTBF_customer_ROW[[#This Row],[Week]],INDIRECT("MTBF_"&amp;$B$1&amp;"[Week]"),INDIRECT("MTBF_"&amp;$B$1&amp;"[MTBFp 13wma]"),0,0)</f>
        <v>0</v>
      </c>
      <c r="J24" s="95" cm="1">
        <f t="array" aca="1" ref="J24" ca="1">_xlfn.XLOOKUP(MTBF_customer_ROW[[#This Row],[Week]],INDIRECT("MTBF_"&amp;$B$1&amp;"[Week]"),INDIRECT("MTBF_"&amp;$B$1&amp;"[MTBFu 1wma]"),0,0)</f>
        <v>0</v>
      </c>
      <c r="K24" s="95" cm="1">
        <f t="array" aca="1" ref="K24" ca="1">_xlfn.XLOOKUP(MTBF_customer_ROW[[#This Row],[Week]],INDIRECT("MTBF_"&amp;$B$1&amp;"[Week]"),INDIRECT("MTBF_"&amp;$B$1&amp;"[MTBFu 4wma]"),0,0)</f>
        <v>0</v>
      </c>
      <c r="L24" s="95" cm="1">
        <f t="array" aca="1" ref="L24" ca="1">_xlfn.XLOOKUP(MTBF_customer_ROW[[#This Row],[Week]],INDIRECT("MTBF_"&amp;$B$1&amp;"[Week]"),INDIRECT("MTBF_"&amp;$B$1&amp;"[MTBFu 13wma]"),0,0)</f>
        <v>0</v>
      </c>
      <c r="O24" s="89">
        <v>2446</v>
      </c>
      <c r="P24" s="89" t="str">
        <f>"wk"&amp;MTBF_RoW[[#This Row],[Week]]</f>
        <v>wk2446</v>
      </c>
      <c r="Q24" s="93" t="e" cm="1">
        <f t="array" aca="1" ref="Q24" ca="1">_xlfn.XLOOKUP(MTBF_RoW[[#This Row],[Week]],INDIRECT("MTBF_"&amp;$P$1&amp;"[Week]"),INDIRECT("MTBF_"&amp;$P$1&amp;"[Productive time '[hrs']]"),0,0)+_xlfn.XLOOKUP(MTBF_RoW[[#This Row],[Week]],INDIRECT("MTBF_"&amp;$Q$1&amp;"[Week]"),INDIRECT("MTBF_"&amp;$Q$1&amp;"[Productive time '[hrs']]"),0,0)</f>
        <v>#REF!</v>
      </c>
      <c r="R24" s="93" t="e" cm="1">
        <f t="array" aca="1" ref="R24" ca="1">_xlfn.XLOOKUP(MTBF_RoW[[#This Row],[Week]],INDIRECT("MTBF_"&amp;$P$1&amp;"[Week]"),INDIRECT("MTBF_"&amp;$P$1&amp;"[Uptime '[hrs']]"),0,0)+_xlfn.XLOOKUP(MTBF_RoW[[#This Row],[Week]],INDIRECT("MTBF_"&amp;$Q$1&amp;"[Week]"),INDIRECT("MTBF_"&amp;$Q$1&amp;"[Uptime '[hrs']]"),0,0)</f>
        <v>#REF!</v>
      </c>
      <c r="S24" s="89" t="e" cm="1">
        <f t="array" aca="1" ref="S24" ca="1">_xlfn.XLOOKUP(MTBF_RoW[[#This Row],[Week]],INDIRECT("MTBF_"&amp;$P$1&amp;"[Week]"),INDIRECT("MTBF_"&amp;$P$1&amp;"[P hits]"),0,0)+_xlfn.XLOOKUP(MTBF_RoW[[#This Row],[Week]],INDIRECT("MTBF_"&amp;$Q$1&amp;"[Week]"),INDIRECT("MTBF_"&amp;$Q$1&amp;"[P hits]"),0,0)</f>
        <v>#REF!</v>
      </c>
      <c r="T24" s="89" t="e" cm="1">
        <f t="array" aca="1" ref="T24" ca="1">_xlfn.XLOOKUP(MTBF_RoW[[#This Row],[Week]],INDIRECT("MTBF_"&amp;$P$1&amp;"[Week]"),INDIRECT("MTBF_"&amp;$P$1&amp;"[U hits]"),0,0)+_xlfn.XLOOKUP(MTBF_RoW[[#This Row],[Week]],INDIRECT("MTBF_"&amp;$Q$1&amp;"[Week]"),INDIRECT("MTBF_"&amp;$Q$1&amp;"[U hits]"),0,0)</f>
        <v>#REF!</v>
      </c>
      <c r="U24" s="93" t="e">
        <f ca="1">IF(MTBF_RoW[[#This Row],[P hits]]=0,MTBF_RoW[[#This Row],[Productive time '[hrs']]],MTBF_RoW[[#This Row],[Productive time '[hrs']]]/MTBF_RoW[[#This Row],[P hits]])</f>
        <v>#REF!</v>
      </c>
      <c r="V24" s="93" t="e">
        <f ca="1">IF(SUM(S21:S24)=0,SUM(Q21:Q24),SUM(Q21:Q24)/SUM(S21:S24))</f>
        <v>#REF!</v>
      </c>
      <c r="W24" s="93"/>
      <c r="X24" s="93" t="e">
        <f ca="1">IF(MTBF_RoW[[#This Row],[U hits]]=0,MTBF_RoW[[#This Row],[Uptime '[hrs']]],MTBF_RoW[[#This Row],[Uptime '[hrs']]]/MTBF_RoW[[#This Row],[U hits]])</f>
        <v>#REF!</v>
      </c>
      <c r="Y24" s="93" t="e">
        <f ca="1">IF(SUM(T21:T24)=0,SUM(R21:R24),SUM(R21:R24)/SUM(T21:T24))</f>
        <v>#REF!</v>
      </c>
      <c r="Z24" s="93"/>
      <c r="AC24" s="89">
        <v>2446</v>
      </c>
      <c r="AD24" s="89" t="str">
        <f t="shared" si="3"/>
        <v>wk2446</v>
      </c>
      <c r="AE24" s="93">
        <f ca="1">MTBF_customer_ROW[[#This Row],[MTBFp 1wma]]</f>
        <v>0</v>
      </c>
      <c r="AF24" s="93">
        <f ca="1">MTBF_customer_ROW[[#This Row],[MTBFp 4wma]]</f>
        <v>0</v>
      </c>
      <c r="AG24" s="93" t="e">
        <f ca="1">IF(MTBF_customer_ROW[[#This Row],[MTBFp 13wma]]=0,NA(),MTBF_customer_ROW[[#This Row],[MTBFp 13wma]])</f>
        <v>#N/A</v>
      </c>
      <c r="AH24" s="93" t="e">
        <f ca="1">MTBF_RoW[[#This Row],[MTBFp 1wma]]</f>
        <v>#REF!</v>
      </c>
      <c r="AI24" s="93" t="e">
        <f ca="1">MTBF_RoW[[#This Row],[MTBFp 4wma]]</f>
        <v>#REF!</v>
      </c>
      <c r="AJ24" s="93" t="e">
        <f>IF(MTBF_RoW[[#This Row],[MTBFp 13wma]]=0,NA(),MTBF_RoW[[#This Row],[MTBFp 13wma]])</f>
        <v>#N/A</v>
      </c>
    </row>
    <row r="25" spans="1:36">
      <c r="A25" s="89">
        <v>2447</v>
      </c>
      <c r="B25" s="89" t="str">
        <f>"wk"&amp;MTBF_customer_ROW[[#This Row],[Week]]</f>
        <v>wk2447</v>
      </c>
      <c r="C25" s="93" cm="1">
        <f t="array" aca="1" ref="C25" ca="1">_xlfn.XLOOKUP(MTBF_customer_ROW[[#This Row],[Week]],INDIRECT("MTBF_"&amp;$B$1&amp;"[Week]"),INDIRECT("MTBF_"&amp;$B$1&amp;"[Productive time '[hrs']]"),0,0)</f>
        <v>0</v>
      </c>
      <c r="D25" s="93" cm="1">
        <f t="array" aca="1" ref="D25" ca="1">_xlfn.XLOOKUP(MTBF_customer_ROW[[#This Row],[Week]],INDIRECT("MTBF_"&amp;$B$1&amp;"[Week]"),INDIRECT("MTBF_"&amp;$B$1&amp;"[Uptime '[hrs']]"),0,0)</f>
        <v>0</v>
      </c>
      <c r="E25" s="89" cm="1">
        <f t="array" aca="1" ref="E25" ca="1">_xlfn.XLOOKUP(MTBF_customer_ROW[[#This Row],[Week]],INDIRECT("MTBF_"&amp;$B$1&amp;"[Week]"),INDIRECT("MTBF_"&amp;$B$1&amp;"[P hits]"),0,0)</f>
        <v>0</v>
      </c>
      <c r="F25" s="89" cm="1">
        <f t="array" aca="1" ref="F25" ca="1">_xlfn.XLOOKUP(MTBF_customer_ROW[[#This Row],[Week]],INDIRECT("MTBF_"&amp;$B$1&amp;"[Week]"),INDIRECT("MTBF_"&amp;$B$1&amp;"[U hits]"),0,0)</f>
        <v>0</v>
      </c>
      <c r="G25" s="93" cm="1">
        <f t="array" aca="1" ref="G25" ca="1">_xlfn.XLOOKUP(MTBF_customer_ROW[[#This Row],[Week]],INDIRECT("MTBF_"&amp;$B$1&amp;"[Week]"),INDIRECT("MTBF_"&amp;$B$1&amp;"[MTBFp 1wma]"),0,0)</f>
        <v>0</v>
      </c>
      <c r="H25" s="95" cm="1">
        <f t="array" aca="1" ref="H25" ca="1">_xlfn.XLOOKUP(MTBF_customer_ROW[[#This Row],[Week]],INDIRECT("MTBF_"&amp;$B$1&amp;"[Week]"),INDIRECT("MTBF_"&amp;$B$1&amp;"[MTBFp 4wma]"),0,0)</f>
        <v>0</v>
      </c>
      <c r="I25" s="95" cm="1">
        <f t="array" aca="1" ref="I25" ca="1">_xlfn.XLOOKUP(MTBF_customer_ROW[[#This Row],[Week]],INDIRECT("MTBF_"&amp;$B$1&amp;"[Week]"),INDIRECT("MTBF_"&amp;$B$1&amp;"[MTBFp 13wma]"),0,0)</f>
        <v>0</v>
      </c>
      <c r="J25" s="95" cm="1">
        <f t="array" aca="1" ref="J25" ca="1">_xlfn.XLOOKUP(MTBF_customer_ROW[[#This Row],[Week]],INDIRECT("MTBF_"&amp;$B$1&amp;"[Week]"),INDIRECT("MTBF_"&amp;$B$1&amp;"[MTBFu 1wma]"),0,0)</f>
        <v>0</v>
      </c>
      <c r="K25" s="95" cm="1">
        <f t="array" aca="1" ref="K25" ca="1">_xlfn.XLOOKUP(MTBF_customer_ROW[[#This Row],[Week]],INDIRECT("MTBF_"&amp;$B$1&amp;"[Week]"),INDIRECT("MTBF_"&amp;$B$1&amp;"[MTBFu 4wma]"),0,0)</f>
        <v>0</v>
      </c>
      <c r="L25" s="95" cm="1">
        <f t="array" aca="1" ref="L25" ca="1">_xlfn.XLOOKUP(MTBF_customer_ROW[[#This Row],[Week]],INDIRECT("MTBF_"&amp;$B$1&amp;"[Week]"),INDIRECT("MTBF_"&amp;$B$1&amp;"[MTBFu 13wma]"),0,0)</f>
        <v>0</v>
      </c>
      <c r="O25" s="89">
        <v>2447</v>
      </c>
      <c r="P25" s="89" t="str">
        <f>"wk"&amp;MTBF_RoW[[#This Row],[Week]]</f>
        <v>wk2447</v>
      </c>
      <c r="Q25" s="93" t="e" cm="1">
        <f t="array" aca="1" ref="Q25" ca="1">_xlfn.XLOOKUP(MTBF_RoW[[#This Row],[Week]],INDIRECT("MTBF_"&amp;$P$1&amp;"[Week]"),INDIRECT("MTBF_"&amp;$P$1&amp;"[Productive time '[hrs']]"),0,0)+_xlfn.XLOOKUP(MTBF_RoW[[#This Row],[Week]],INDIRECT("MTBF_"&amp;$Q$1&amp;"[Week]"),INDIRECT("MTBF_"&amp;$Q$1&amp;"[Productive time '[hrs']]"),0,0)</f>
        <v>#REF!</v>
      </c>
      <c r="R25" s="93" t="e" cm="1">
        <f t="array" aca="1" ref="R25" ca="1">_xlfn.XLOOKUP(MTBF_RoW[[#This Row],[Week]],INDIRECT("MTBF_"&amp;$P$1&amp;"[Week]"),INDIRECT("MTBF_"&amp;$P$1&amp;"[Uptime '[hrs']]"),0,0)+_xlfn.XLOOKUP(MTBF_RoW[[#This Row],[Week]],INDIRECT("MTBF_"&amp;$Q$1&amp;"[Week]"),INDIRECT("MTBF_"&amp;$Q$1&amp;"[Uptime '[hrs']]"),0,0)</f>
        <v>#REF!</v>
      </c>
      <c r="S25" s="89" t="e" cm="1">
        <f t="array" aca="1" ref="S25" ca="1">_xlfn.XLOOKUP(MTBF_RoW[[#This Row],[Week]],INDIRECT("MTBF_"&amp;$P$1&amp;"[Week]"),INDIRECT("MTBF_"&amp;$P$1&amp;"[P hits]"),0,0)+_xlfn.XLOOKUP(MTBF_RoW[[#This Row],[Week]],INDIRECT("MTBF_"&amp;$Q$1&amp;"[Week]"),INDIRECT("MTBF_"&amp;$Q$1&amp;"[P hits]"),0,0)</f>
        <v>#REF!</v>
      </c>
      <c r="T25" s="89" t="e" cm="1">
        <f t="array" aca="1" ref="T25" ca="1">_xlfn.XLOOKUP(MTBF_RoW[[#This Row],[Week]],INDIRECT("MTBF_"&amp;$P$1&amp;"[Week]"),INDIRECT("MTBF_"&amp;$P$1&amp;"[U hits]"),0,0)+_xlfn.XLOOKUP(MTBF_RoW[[#This Row],[Week]],INDIRECT("MTBF_"&amp;$Q$1&amp;"[Week]"),INDIRECT("MTBF_"&amp;$Q$1&amp;"[U hits]"),0,0)</f>
        <v>#REF!</v>
      </c>
      <c r="U25" s="93" t="e">
        <f ca="1">IF(MTBF_RoW[[#This Row],[P hits]]=0,MTBF_RoW[[#This Row],[Productive time '[hrs']]],MTBF_RoW[[#This Row],[Productive time '[hrs']]]/MTBF_RoW[[#This Row],[P hits]])</f>
        <v>#REF!</v>
      </c>
      <c r="V25" s="93" t="e">
        <f ca="1">IF(SUM(S22:S25)=0,SUM(Q22:Q25),SUM(Q22:Q25)/SUM(S22:S25))</f>
        <v>#REF!</v>
      </c>
      <c r="W25" s="93"/>
      <c r="X25" s="93" t="e">
        <f ca="1">IF(MTBF_RoW[[#This Row],[U hits]]=0,MTBF_RoW[[#This Row],[Uptime '[hrs']]],MTBF_RoW[[#This Row],[Uptime '[hrs']]]/MTBF_RoW[[#This Row],[U hits]])</f>
        <v>#REF!</v>
      </c>
      <c r="Y25" s="93" t="e">
        <f ca="1">IF(SUM(T22:T25)=0,SUM(R22:R25),SUM(R22:R25)/SUM(T22:T25))</f>
        <v>#REF!</v>
      </c>
      <c r="Z25" s="93"/>
      <c r="AC25" s="89">
        <v>2447</v>
      </c>
      <c r="AD25" s="89" t="str">
        <f t="shared" si="3"/>
        <v>wk2447</v>
      </c>
      <c r="AE25" s="93">
        <f ca="1">MTBF_customer_ROW[[#This Row],[MTBFp 1wma]]</f>
        <v>0</v>
      </c>
      <c r="AF25" s="93">
        <f ca="1">MTBF_customer_ROW[[#This Row],[MTBFp 4wma]]</f>
        <v>0</v>
      </c>
      <c r="AG25" s="93" t="e">
        <f ca="1">IF(MTBF_customer_ROW[[#This Row],[MTBFp 13wma]]=0,NA(),MTBF_customer_ROW[[#This Row],[MTBFp 13wma]])</f>
        <v>#N/A</v>
      </c>
      <c r="AH25" s="93" t="e">
        <f ca="1">MTBF_RoW[[#This Row],[MTBFp 1wma]]</f>
        <v>#REF!</v>
      </c>
      <c r="AI25" s="93" t="e">
        <f ca="1">MTBF_RoW[[#This Row],[MTBFp 4wma]]</f>
        <v>#REF!</v>
      </c>
      <c r="AJ25" s="93" t="e">
        <f>IF(MTBF_RoW[[#This Row],[MTBFp 13wma]]=0,NA(),MTBF_RoW[[#This Row],[MTBFp 13wma]])</f>
        <v>#N/A</v>
      </c>
    </row>
    <row r="26" spans="1:36">
      <c r="A26" s="89">
        <v>2448</v>
      </c>
      <c r="B26" s="89" t="str">
        <f>"wk"&amp;MTBF_customer_ROW[[#This Row],[Week]]</f>
        <v>wk2448</v>
      </c>
      <c r="C26" s="93" cm="1">
        <f t="array" aca="1" ref="C26" ca="1">_xlfn.XLOOKUP(MTBF_customer_ROW[[#This Row],[Week]],INDIRECT("MTBF_"&amp;$B$1&amp;"[Week]"),INDIRECT("MTBF_"&amp;$B$1&amp;"[Productive time '[hrs']]"),0,0)</f>
        <v>0</v>
      </c>
      <c r="D26" s="93" cm="1">
        <f t="array" aca="1" ref="D26" ca="1">_xlfn.XLOOKUP(MTBF_customer_ROW[[#This Row],[Week]],INDIRECT("MTBF_"&amp;$B$1&amp;"[Week]"),INDIRECT("MTBF_"&amp;$B$1&amp;"[Uptime '[hrs']]"),0,0)</f>
        <v>0</v>
      </c>
      <c r="E26" s="89" cm="1">
        <f t="array" aca="1" ref="E26" ca="1">_xlfn.XLOOKUP(MTBF_customer_ROW[[#This Row],[Week]],INDIRECT("MTBF_"&amp;$B$1&amp;"[Week]"),INDIRECT("MTBF_"&amp;$B$1&amp;"[P hits]"),0,0)</f>
        <v>0</v>
      </c>
      <c r="F26" s="89" cm="1">
        <f t="array" aca="1" ref="F26" ca="1">_xlfn.XLOOKUP(MTBF_customer_ROW[[#This Row],[Week]],INDIRECT("MTBF_"&amp;$B$1&amp;"[Week]"),INDIRECT("MTBF_"&amp;$B$1&amp;"[U hits]"),0,0)</f>
        <v>0</v>
      </c>
      <c r="G26" s="93" cm="1">
        <f t="array" aca="1" ref="G26" ca="1">_xlfn.XLOOKUP(MTBF_customer_ROW[[#This Row],[Week]],INDIRECT("MTBF_"&amp;$B$1&amp;"[Week]"),INDIRECT("MTBF_"&amp;$B$1&amp;"[MTBFp 1wma]"),0,0)</f>
        <v>0</v>
      </c>
      <c r="H26" s="95" cm="1">
        <f t="array" aca="1" ref="H26" ca="1">_xlfn.XLOOKUP(MTBF_customer_ROW[[#This Row],[Week]],INDIRECT("MTBF_"&amp;$B$1&amp;"[Week]"),INDIRECT("MTBF_"&amp;$B$1&amp;"[MTBFp 4wma]"),0,0)</f>
        <v>0</v>
      </c>
      <c r="I26" s="95" cm="1">
        <f t="array" aca="1" ref="I26" ca="1">_xlfn.XLOOKUP(MTBF_customer_ROW[[#This Row],[Week]],INDIRECT("MTBF_"&amp;$B$1&amp;"[Week]"),INDIRECT("MTBF_"&amp;$B$1&amp;"[MTBFp 13wma]"),0,0)</f>
        <v>0</v>
      </c>
      <c r="J26" s="95" cm="1">
        <f t="array" aca="1" ref="J26" ca="1">_xlfn.XLOOKUP(MTBF_customer_ROW[[#This Row],[Week]],INDIRECT("MTBF_"&amp;$B$1&amp;"[Week]"),INDIRECT("MTBF_"&amp;$B$1&amp;"[MTBFu 1wma]"),0,0)</f>
        <v>0</v>
      </c>
      <c r="K26" s="95" cm="1">
        <f t="array" aca="1" ref="K26" ca="1">_xlfn.XLOOKUP(MTBF_customer_ROW[[#This Row],[Week]],INDIRECT("MTBF_"&amp;$B$1&amp;"[Week]"),INDIRECT("MTBF_"&amp;$B$1&amp;"[MTBFu 4wma]"),0,0)</f>
        <v>0</v>
      </c>
      <c r="L26" s="95" cm="1">
        <f t="array" aca="1" ref="L26" ca="1">_xlfn.XLOOKUP(MTBF_customer_ROW[[#This Row],[Week]],INDIRECT("MTBF_"&amp;$B$1&amp;"[Week]"),INDIRECT("MTBF_"&amp;$B$1&amp;"[MTBFu 13wma]"),0,0)</f>
        <v>0</v>
      </c>
      <c r="O26" s="89">
        <v>2448</v>
      </c>
      <c r="P26" s="89" t="str">
        <f>"wk"&amp;MTBF_RoW[[#This Row],[Week]]</f>
        <v>wk2448</v>
      </c>
      <c r="Q26" s="93" t="e" cm="1">
        <f t="array" aca="1" ref="Q26" ca="1">_xlfn.XLOOKUP(MTBF_RoW[[#This Row],[Week]],INDIRECT("MTBF_"&amp;$P$1&amp;"[Week]"),INDIRECT("MTBF_"&amp;$P$1&amp;"[Productive time '[hrs']]"),0,0)+_xlfn.XLOOKUP(MTBF_RoW[[#This Row],[Week]],INDIRECT("MTBF_"&amp;$Q$1&amp;"[Week]"),INDIRECT("MTBF_"&amp;$Q$1&amp;"[Productive time '[hrs']]"),0,0)</f>
        <v>#REF!</v>
      </c>
      <c r="R26" s="93" t="e" cm="1">
        <f t="array" aca="1" ref="R26" ca="1">_xlfn.XLOOKUP(MTBF_RoW[[#This Row],[Week]],INDIRECT("MTBF_"&amp;$P$1&amp;"[Week]"),INDIRECT("MTBF_"&amp;$P$1&amp;"[Uptime '[hrs']]"),0,0)+_xlfn.XLOOKUP(MTBF_RoW[[#This Row],[Week]],INDIRECT("MTBF_"&amp;$Q$1&amp;"[Week]"),INDIRECT("MTBF_"&amp;$Q$1&amp;"[Uptime '[hrs']]"),0,0)</f>
        <v>#REF!</v>
      </c>
      <c r="S26" s="89" t="e" cm="1">
        <f t="array" aca="1" ref="S26" ca="1">_xlfn.XLOOKUP(MTBF_RoW[[#This Row],[Week]],INDIRECT("MTBF_"&amp;$P$1&amp;"[Week]"),INDIRECT("MTBF_"&amp;$P$1&amp;"[P hits]"),0,0)+_xlfn.XLOOKUP(MTBF_RoW[[#This Row],[Week]],INDIRECT("MTBF_"&amp;$Q$1&amp;"[Week]"),INDIRECT("MTBF_"&amp;$Q$1&amp;"[P hits]"),0,0)</f>
        <v>#REF!</v>
      </c>
      <c r="T26" s="89" t="e" cm="1">
        <f t="array" aca="1" ref="T26" ca="1">_xlfn.XLOOKUP(MTBF_RoW[[#This Row],[Week]],INDIRECT("MTBF_"&amp;$P$1&amp;"[Week]"),INDIRECT("MTBF_"&amp;$P$1&amp;"[U hits]"),0,0)+_xlfn.XLOOKUP(MTBF_RoW[[#This Row],[Week]],INDIRECT("MTBF_"&amp;$Q$1&amp;"[Week]"),INDIRECT("MTBF_"&amp;$Q$1&amp;"[U hits]"),0,0)</f>
        <v>#REF!</v>
      </c>
      <c r="U26" s="93" t="e">
        <f ca="1">IF(MTBF_RoW[[#This Row],[P hits]]=0,MTBF_RoW[[#This Row],[Productive time '[hrs']]],MTBF_RoW[[#This Row],[Productive time '[hrs']]]/MTBF_RoW[[#This Row],[P hits]])</f>
        <v>#REF!</v>
      </c>
      <c r="V26" s="93" t="e">
        <f ca="1">IF(SUM(S23:S26)=0,SUM(Q23:Q26),SUM(Q23:Q26)/SUM(S23:S26))</f>
        <v>#REF!</v>
      </c>
      <c r="W26" s="93"/>
      <c r="X26" s="93" t="e">
        <f ca="1">IF(MTBF_RoW[[#This Row],[U hits]]=0,MTBF_RoW[[#This Row],[Uptime '[hrs']]],MTBF_RoW[[#This Row],[Uptime '[hrs']]]/MTBF_RoW[[#This Row],[U hits]])</f>
        <v>#REF!</v>
      </c>
      <c r="Y26" s="93" t="e">
        <f ca="1">IF(SUM(T23:T26)=0,SUM(R23:R26),SUM(R23:R26)/SUM(T23:T26))</f>
        <v>#REF!</v>
      </c>
      <c r="Z26" s="93"/>
      <c r="AC26" s="89">
        <v>2448</v>
      </c>
      <c r="AD26" s="89" t="str">
        <f t="shared" si="3"/>
        <v>wk2448</v>
      </c>
      <c r="AE26" s="93">
        <f ca="1">MTBF_customer_ROW[[#This Row],[MTBFp 1wma]]</f>
        <v>0</v>
      </c>
      <c r="AF26" s="93">
        <f ca="1">MTBF_customer_ROW[[#This Row],[MTBFp 4wma]]</f>
        <v>0</v>
      </c>
      <c r="AG26" s="93" t="e">
        <f ca="1">IF(MTBF_customer_ROW[[#This Row],[MTBFp 13wma]]=0,NA(),MTBF_customer_ROW[[#This Row],[MTBFp 13wma]])</f>
        <v>#N/A</v>
      </c>
      <c r="AH26" s="93" t="e">
        <f ca="1">MTBF_RoW[[#This Row],[MTBFp 1wma]]</f>
        <v>#REF!</v>
      </c>
      <c r="AI26" s="93" t="e">
        <f ca="1">MTBF_RoW[[#This Row],[MTBFp 4wma]]</f>
        <v>#REF!</v>
      </c>
      <c r="AJ26" s="93" t="e">
        <f>IF(MTBF_RoW[[#This Row],[MTBFp 13wma]]=0,NA(),MTBF_RoW[[#This Row],[MTBFp 13wma]])</f>
        <v>#N/A</v>
      </c>
    </row>
    <row r="27" spans="1:36">
      <c r="A27" s="89">
        <v>2449</v>
      </c>
      <c r="B27" s="89" t="str">
        <f>"wk"&amp;MTBF_customer_ROW[[#This Row],[Week]]</f>
        <v>wk2449</v>
      </c>
      <c r="C27" s="93" cm="1">
        <f t="array" aca="1" ref="C27" ca="1">_xlfn.XLOOKUP(MTBF_customer_ROW[[#This Row],[Week]],INDIRECT("MTBF_"&amp;$B$1&amp;"[Week]"),INDIRECT("MTBF_"&amp;$B$1&amp;"[Productive time '[hrs']]"),0,0)</f>
        <v>0</v>
      </c>
      <c r="D27" s="93" cm="1">
        <f t="array" aca="1" ref="D27" ca="1">_xlfn.XLOOKUP(MTBF_customer_ROW[[#This Row],[Week]],INDIRECT("MTBF_"&amp;$B$1&amp;"[Week]"),INDIRECT("MTBF_"&amp;$B$1&amp;"[Uptime '[hrs']]"),0,0)</f>
        <v>0</v>
      </c>
      <c r="E27" s="89" cm="1">
        <f t="array" aca="1" ref="E27" ca="1">_xlfn.XLOOKUP(MTBF_customer_ROW[[#This Row],[Week]],INDIRECT("MTBF_"&amp;$B$1&amp;"[Week]"),INDIRECT("MTBF_"&amp;$B$1&amp;"[P hits]"),0,0)</f>
        <v>0</v>
      </c>
      <c r="F27" s="89" cm="1">
        <f t="array" aca="1" ref="F27" ca="1">_xlfn.XLOOKUP(MTBF_customer_ROW[[#This Row],[Week]],INDIRECT("MTBF_"&amp;$B$1&amp;"[Week]"),INDIRECT("MTBF_"&amp;$B$1&amp;"[U hits]"),0,0)</f>
        <v>0</v>
      </c>
      <c r="G27" s="93" cm="1">
        <f t="array" aca="1" ref="G27" ca="1">_xlfn.XLOOKUP(MTBF_customer_ROW[[#This Row],[Week]],INDIRECT("MTBF_"&amp;$B$1&amp;"[Week]"),INDIRECT("MTBF_"&amp;$B$1&amp;"[MTBFp 1wma]"),0,0)</f>
        <v>0</v>
      </c>
      <c r="H27" s="95" cm="1">
        <f t="array" aca="1" ref="H27" ca="1">_xlfn.XLOOKUP(MTBF_customer_ROW[[#This Row],[Week]],INDIRECT("MTBF_"&amp;$B$1&amp;"[Week]"),INDIRECT("MTBF_"&amp;$B$1&amp;"[MTBFp 4wma]"),0,0)</f>
        <v>0</v>
      </c>
      <c r="I27" s="95" cm="1">
        <f t="array" aca="1" ref="I27" ca="1">_xlfn.XLOOKUP(MTBF_customer_ROW[[#This Row],[Week]],INDIRECT("MTBF_"&amp;$B$1&amp;"[Week]"),INDIRECT("MTBF_"&amp;$B$1&amp;"[MTBFp 13wma]"),0,0)</f>
        <v>0</v>
      </c>
      <c r="J27" s="95" cm="1">
        <f t="array" aca="1" ref="J27" ca="1">_xlfn.XLOOKUP(MTBF_customer_ROW[[#This Row],[Week]],INDIRECT("MTBF_"&amp;$B$1&amp;"[Week]"),INDIRECT("MTBF_"&amp;$B$1&amp;"[MTBFu 1wma]"),0,0)</f>
        <v>0</v>
      </c>
      <c r="K27" s="95" cm="1">
        <f t="array" aca="1" ref="K27" ca="1">_xlfn.XLOOKUP(MTBF_customer_ROW[[#This Row],[Week]],INDIRECT("MTBF_"&amp;$B$1&amp;"[Week]"),INDIRECT("MTBF_"&amp;$B$1&amp;"[MTBFu 4wma]"),0,0)</f>
        <v>0</v>
      </c>
      <c r="L27" s="95" cm="1">
        <f t="array" aca="1" ref="L27" ca="1">_xlfn.XLOOKUP(MTBF_customer_ROW[[#This Row],[Week]],INDIRECT("MTBF_"&amp;$B$1&amp;"[Week]"),INDIRECT("MTBF_"&amp;$B$1&amp;"[MTBFu 13wma]"),0,0)</f>
        <v>0</v>
      </c>
      <c r="O27" s="89">
        <v>2449</v>
      </c>
      <c r="P27" s="89" t="str">
        <f>"wk"&amp;MTBF_RoW[[#This Row],[Week]]</f>
        <v>wk2449</v>
      </c>
      <c r="Q27" s="93" t="e" cm="1">
        <f t="array" aca="1" ref="Q27" ca="1">_xlfn.XLOOKUP(MTBF_RoW[[#This Row],[Week]],INDIRECT("MTBF_"&amp;$P$1&amp;"[Week]"),INDIRECT("MTBF_"&amp;$P$1&amp;"[Productive time '[hrs']]"),0,0)+_xlfn.XLOOKUP(MTBF_RoW[[#This Row],[Week]],INDIRECT("MTBF_"&amp;$Q$1&amp;"[Week]"),INDIRECT("MTBF_"&amp;$Q$1&amp;"[Productive time '[hrs']]"),0,0)</f>
        <v>#REF!</v>
      </c>
      <c r="R27" s="93" t="e" cm="1">
        <f t="array" aca="1" ref="R27" ca="1">_xlfn.XLOOKUP(MTBF_RoW[[#This Row],[Week]],INDIRECT("MTBF_"&amp;$P$1&amp;"[Week]"),INDIRECT("MTBF_"&amp;$P$1&amp;"[Uptime '[hrs']]"),0,0)+_xlfn.XLOOKUP(MTBF_RoW[[#This Row],[Week]],INDIRECT("MTBF_"&amp;$Q$1&amp;"[Week]"),INDIRECT("MTBF_"&amp;$Q$1&amp;"[Uptime '[hrs']]"),0,0)</f>
        <v>#REF!</v>
      </c>
      <c r="S27" s="89" t="e" cm="1">
        <f t="array" aca="1" ref="S27" ca="1">_xlfn.XLOOKUP(MTBF_RoW[[#This Row],[Week]],INDIRECT("MTBF_"&amp;$P$1&amp;"[Week]"),INDIRECT("MTBF_"&amp;$P$1&amp;"[P hits]"),0,0)+_xlfn.XLOOKUP(MTBF_RoW[[#This Row],[Week]],INDIRECT("MTBF_"&amp;$Q$1&amp;"[Week]"),INDIRECT("MTBF_"&amp;$Q$1&amp;"[P hits]"),0,0)</f>
        <v>#REF!</v>
      </c>
      <c r="T27" s="89" t="e" cm="1">
        <f t="array" aca="1" ref="T27" ca="1">_xlfn.XLOOKUP(MTBF_RoW[[#This Row],[Week]],INDIRECT("MTBF_"&amp;$P$1&amp;"[Week]"),INDIRECT("MTBF_"&amp;$P$1&amp;"[U hits]"),0,0)+_xlfn.XLOOKUP(MTBF_RoW[[#This Row],[Week]],INDIRECT("MTBF_"&amp;$Q$1&amp;"[Week]"),INDIRECT("MTBF_"&amp;$Q$1&amp;"[U hits]"),0,0)</f>
        <v>#REF!</v>
      </c>
      <c r="U27" s="93" t="e">
        <f ca="1">IF(MTBF_RoW[[#This Row],[P hits]]=0,MTBF_RoW[[#This Row],[Productive time '[hrs']]],MTBF_RoW[[#This Row],[Productive time '[hrs']]]/MTBF_RoW[[#This Row],[P hits]])</f>
        <v>#REF!</v>
      </c>
      <c r="V27" s="93" t="e">
        <f t="shared" ref="V27:V32" ca="1" si="4">IF(SUM(S23:S27)=0,SUM(Q23:Q27),SUM(Q23:Q27)/SUM(S23:S27))</f>
        <v>#REF!</v>
      </c>
      <c r="W27" s="93" t="e">
        <f t="shared" ref="W27:W32" ca="1" si="5">IF(SUM(S14:S27)=0,SUM(Q14:Q27),SUM(Q14:Q27)/SUM(S14:S27))</f>
        <v>#REF!</v>
      </c>
      <c r="X27" s="93" t="e">
        <f ca="1">IF(MTBF_RoW[[#This Row],[U hits]]=0,MTBF_RoW[[#This Row],[Uptime '[hrs']]],MTBF_RoW[[#This Row],[Uptime '[hrs']]]/MTBF_RoW[[#This Row],[U hits]])</f>
        <v>#REF!</v>
      </c>
      <c r="Y27" s="93" t="e">
        <f t="shared" ref="Y27:Y32" ca="1" si="6">IF(SUM(T23:T27)=0,SUM(R23:R27),SUM(R23:R27)/SUM(T23:T27))</f>
        <v>#REF!</v>
      </c>
      <c r="Z27" s="93" t="e">
        <f t="shared" ref="Z27:Z32" ca="1" si="7">IF(SUM(T14:T27)=0,SUM(R14:R27),SUM(R14:R27)/SUM(T14:T27))</f>
        <v>#REF!</v>
      </c>
      <c r="AC27" s="89">
        <v>2449</v>
      </c>
      <c r="AD27" s="89" t="str">
        <f t="shared" si="3"/>
        <v>wk2449</v>
      </c>
      <c r="AE27" s="93">
        <f ca="1">MTBF_customer_ROW[[#This Row],[MTBFp 1wma]]</f>
        <v>0</v>
      </c>
      <c r="AF27" s="93">
        <f ca="1">MTBF_customer_ROW[[#This Row],[MTBFp 4wma]]</f>
        <v>0</v>
      </c>
      <c r="AG27" s="93" t="e">
        <f ca="1">IF(MTBF_customer_ROW[[#This Row],[MTBFp 13wma]]=0,NA(),MTBF_customer_ROW[[#This Row],[MTBFp 13wma]])</f>
        <v>#N/A</v>
      </c>
      <c r="AH27" s="93" t="e">
        <f ca="1">MTBF_RoW[[#This Row],[MTBFp 1wma]]</f>
        <v>#REF!</v>
      </c>
      <c r="AI27" s="93" t="e">
        <f ca="1">MTBF_RoW[[#This Row],[MTBFp 4wma]]</f>
        <v>#REF!</v>
      </c>
      <c r="AJ27" s="93" t="e">
        <f ca="1">IF(MTBF_RoW[[#This Row],[MTBFp 13wma]]=0,NA(),MTBF_RoW[[#This Row],[MTBFp 13wma]])</f>
        <v>#REF!</v>
      </c>
    </row>
    <row r="28" spans="1:36">
      <c r="A28" s="89">
        <v>2450</v>
      </c>
      <c r="B28" s="89" t="str">
        <f>"wk"&amp;MTBF_customer_ROW[[#This Row],[Week]]</f>
        <v>wk2450</v>
      </c>
      <c r="C28" s="93" cm="1">
        <f t="array" aca="1" ref="C28" ca="1">_xlfn.XLOOKUP(MTBF_customer_ROW[[#This Row],[Week]],INDIRECT("MTBF_"&amp;$B$1&amp;"[Week]"),INDIRECT("MTBF_"&amp;$B$1&amp;"[Productive time '[hrs']]"),0,0)</f>
        <v>0</v>
      </c>
      <c r="D28" s="93" cm="1">
        <f t="array" aca="1" ref="D28" ca="1">_xlfn.XLOOKUP(MTBF_customer_ROW[[#This Row],[Week]],INDIRECT("MTBF_"&amp;$B$1&amp;"[Week]"),INDIRECT("MTBF_"&amp;$B$1&amp;"[Uptime '[hrs']]"),0,0)</f>
        <v>0</v>
      </c>
      <c r="E28" s="89" cm="1">
        <f t="array" aca="1" ref="E28" ca="1">_xlfn.XLOOKUP(MTBF_customer_ROW[[#This Row],[Week]],INDIRECT("MTBF_"&amp;$B$1&amp;"[Week]"),INDIRECT("MTBF_"&amp;$B$1&amp;"[P hits]"),0,0)</f>
        <v>0</v>
      </c>
      <c r="F28" s="89" cm="1">
        <f t="array" aca="1" ref="F28" ca="1">_xlfn.XLOOKUP(MTBF_customer_ROW[[#This Row],[Week]],INDIRECT("MTBF_"&amp;$B$1&amp;"[Week]"),INDIRECT("MTBF_"&amp;$B$1&amp;"[U hits]"),0,0)</f>
        <v>0</v>
      </c>
      <c r="G28" s="95" cm="1">
        <f t="array" aca="1" ref="G28" ca="1">_xlfn.XLOOKUP(MTBF_customer_ROW[[#This Row],[Week]],INDIRECT("MTBF_"&amp;$B$1&amp;"[Week]"),INDIRECT("MTBF_"&amp;$B$1&amp;"[MTBFp 1wma]"),0,0)</f>
        <v>0</v>
      </c>
      <c r="H28" s="95" cm="1">
        <f t="array" aca="1" ref="H28" ca="1">_xlfn.XLOOKUP(MTBF_customer_ROW[[#This Row],[Week]],INDIRECT("MTBF_"&amp;$B$1&amp;"[Week]"),INDIRECT("MTBF_"&amp;$B$1&amp;"[MTBFp 4wma]"),0,0)</f>
        <v>0</v>
      </c>
      <c r="I28" s="95" cm="1">
        <f t="array" aca="1" ref="I28" ca="1">_xlfn.XLOOKUP(MTBF_customer_ROW[[#This Row],[Week]],INDIRECT("MTBF_"&amp;$B$1&amp;"[Week]"),INDIRECT("MTBF_"&amp;$B$1&amp;"[MTBFp 13wma]"),0,0)</f>
        <v>0</v>
      </c>
      <c r="J28" s="95" cm="1">
        <f t="array" aca="1" ref="J28" ca="1">_xlfn.XLOOKUP(MTBF_customer_ROW[[#This Row],[Week]],INDIRECT("MTBF_"&amp;$B$1&amp;"[Week]"),INDIRECT("MTBF_"&amp;$B$1&amp;"[MTBFu 1wma]"),0,0)</f>
        <v>0</v>
      </c>
      <c r="K28" s="95" cm="1">
        <f t="array" aca="1" ref="K28" ca="1">_xlfn.XLOOKUP(MTBF_customer_ROW[[#This Row],[Week]],INDIRECT("MTBF_"&amp;$B$1&amp;"[Week]"),INDIRECT("MTBF_"&amp;$B$1&amp;"[MTBFu 4wma]"),0,0)</f>
        <v>0</v>
      </c>
      <c r="L28" s="95" cm="1">
        <f t="array" aca="1" ref="L28" ca="1">_xlfn.XLOOKUP(MTBF_customer_ROW[[#This Row],[Week]],INDIRECT("MTBF_"&amp;$B$1&amp;"[Week]"),INDIRECT("MTBF_"&amp;$B$1&amp;"[MTBFu 13wma]"),0,0)</f>
        <v>0</v>
      </c>
      <c r="O28" s="89">
        <v>2450</v>
      </c>
      <c r="P28" s="89" t="str">
        <f>"wk"&amp;MTBF_RoW[[#This Row],[Week]]</f>
        <v>wk2450</v>
      </c>
      <c r="Q28" s="93" t="e" cm="1">
        <f t="array" aca="1" ref="Q28" ca="1">_xlfn.XLOOKUP(MTBF_RoW[[#This Row],[Week]],INDIRECT("MTBF_"&amp;$P$1&amp;"[Week]"),INDIRECT("MTBF_"&amp;$P$1&amp;"[Productive time '[hrs']]"),0,0)+_xlfn.XLOOKUP(MTBF_RoW[[#This Row],[Week]],INDIRECT("MTBF_"&amp;$Q$1&amp;"[Week]"),INDIRECT("MTBF_"&amp;$Q$1&amp;"[Productive time '[hrs']]"),0,0)</f>
        <v>#REF!</v>
      </c>
      <c r="R28" s="93" t="e" cm="1">
        <f t="array" aca="1" ref="R28" ca="1">_xlfn.XLOOKUP(MTBF_RoW[[#This Row],[Week]],INDIRECT("MTBF_"&amp;$P$1&amp;"[Week]"),INDIRECT("MTBF_"&amp;$P$1&amp;"[Uptime '[hrs']]"),0,0)+_xlfn.XLOOKUP(MTBF_RoW[[#This Row],[Week]],INDIRECT("MTBF_"&amp;$Q$1&amp;"[Week]"),INDIRECT("MTBF_"&amp;$Q$1&amp;"[Uptime '[hrs']]"),0,0)</f>
        <v>#REF!</v>
      </c>
      <c r="S28" s="89" t="e" cm="1">
        <f t="array" aca="1" ref="S28" ca="1">_xlfn.XLOOKUP(MTBF_RoW[[#This Row],[Week]],INDIRECT("MTBF_"&amp;$P$1&amp;"[Week]"),INDIRECT("MTBF_"&amp;$P$1&amp;"[P hits]"),0,0)+_xlfn.XLOOKUP(MTBF_RoW[[#This Row],[Week]],INDIRECT("MTBF_"&amp;$Q$1&amp;"[Week]"),INDIRECT("MTBF_"&amp;$Q$1&amp;"[P hits]"),0,0)</f>
        <v>#REF!</v>
      </c>
      <c r="T28" s="89" t="e" cm="1">
        <f t="array" aca="1" ref="T28" ca="1">_xlfn.XLOOKUP(MTBF_RoW[[#This Row],[Week]],INDIRECT("MTBF_"&amp;$P$1&amp;"[Week]"),INDIRECT("MTBF_"&amp;$P$1&amp;"[U hits]"),0,0)+_xlfn.XLOOKUP(MTBF_RoW[[#This Row],[Week]],INDIRECT("MTBF_"&amp;$Q$1&amp;"[Week]"),INDIRECT("MTBF_"&amp;$Q$1&amp;"[U hits]"),0,0)</f>
        <v>#REF!</v>
      </c>
      <c r="U28" s="95" t="e">
        <f ca="1">IF(MTBF_RoW[[#This Row],[P hits]]=0,MTBF_RoW[[#This Row],[Productive time '[hrs']]],MTBF_RoW[[#This Row],[Productive time '[hrs']]]/MTBF_RoW[[#This Row],[P hits]])</f>
        <v>#REF!</v>
      </c>
      <c r="V28" s="95" t="e">
        <f t="shared" ca="1" si="4"/>
        <v>#REF!</v>
      </c>
      <c r="W28" s="95" t="e">
        <f t="shared" ca="1" si="5"/>
        <v>#REF!</v>
      </c>
      <c r="X28" s="93" t="e">
        <f ca="1">IF(MTBF_RoW[[#This Row],[U hits]]=0,MTBF_RoW[[#This Row],[Uptime '[hrs']]],MTBF_RoW[[#This Row],[Uptime '[hrs']]]/MTBF_RoW[[#This Row],[U hits]])</f>
        <v>#REF!</v>
      </c>
      <c r="Y28" s="93" t="e">
        <f t="shared" ca="1" si="6"/>
        <v>#REF!</v>
      </c>
      <c r="Z28" s="93" t="e">
        <f t="shared" ca="1" si="7"/>
        <v>#REF!</v>
      </c>
      <c r="AC28" s="89">
        <v>2450</v>
      </c>
      <c r="AD28" s="89" t="str">
        <f>"wk"&amp;AC28</f>
        <v>wk2450</v>
      </c>
      <c r="AE28" s="93">
        <f ca="1">MTBF_customer_ROW[[#This Row],[MTBFp 1wma]]</f>
        <v>0</v>
      </c>
      <c r="AF28" s="93">
        <f ca="1">MTBF_customer_ROW[[#This Row],[MTBFp 4wma]]</f>
        <v>0</v>
      </c>
      <c r="AG28" s="93" t="e">
        <f ca="1">IF(MTBF_customer_ROW[[#This Row],[MTBFp 13wma]]=0,NA(),MTBF_customer_ROW[[#This Row],[MTBFp 13wma]])</f>
        <v>#N/A</v>
      </c>
      <c r="AH28" s="93" t="e">
        <f ca="1">MTBF_RoW[[#This Row],[MTBFp 1wma]]</f>
        <v>#REF!</v>
      </c>
      <c r="AI28" s="93" t="e">
        <f ca="1">MTBF_RoW[[#This Row],[MTBFp 4wma]]</f>
        <v>#REF!</v>
      </c>
      <c r="AJ28" s="93" t="e">
        <f ca="1">IF(MTBF_RoW[[#This Row],[MTBFp 13wma]]=0,NA(),MTBF_RoW[[#This Row],[MTBFp 13wma]])</f>
        <v>#REF!</v>
      </c>
    </row>
    <row r="29" spans="1:36">
      <c r="A29" s="89">
        <v>2451</v>
      </c>
      <c r="B29" s="89" t="str">
        <f>"wk"&amp;MTBF_customer_ROW[[#This Row],[Week]]</f>
        <v>wk2451</v>
      </c>
      <c r="C29" s="93" cm="1">
        <f t="array" aca="1" ref="C29" ca="1">_xlfn.XLOOKUP(MTBF_customer_ROW[[#This Row],[Week]],INDIRECT("MTBF_"&amp;$B$1&amp;"[Week]"),INDIRECT("MTBF_"&amp;$B$1&amp;"[Productive time '[hrs']]"),0,0)</f>
        <v>0</v>
      </c>
      <c r="D29" s="93" cm="1">
        <f t="array" aca="1" ref="D29" ca="1">_xlfn.XLOOKUP(MTBF_customer_ROW[[#This Row],[Week]],INDIRECT("MTBF_"&amp;$B$1&amp;"[Week]"),INDIRECT("MTBF_"&amp;$B$1&amp;"[Uptime '[hrs']]"),0,0)</f>
        <v>0</v>
      </c>
      <c r="E29" s="89" cm="1">
        <f t="array" aca="1" ref="E29" ca="1">_xlfn.XLOOKUP(MTBF_customer_ROW[[#This Row],[Week]],INDIRECT("MTBF_"&amp;$B$1&amp;"[Week]"),INDIRECT("MTBF_"&amp;$B$1&amp;"[P hits]"),0,0)</f>
        <v>0</v>
      </c>
      <c r="F29" s="89" cm="1">
        <f t="array" aca="1" ref="F29" ca="1">_xlfn.XLOOKUP(MTBF_customer_ROW[[#This Row],[Week]],INDIRECT("MTBF_"&amp;$B$1&amp;"[Week]"),INDIRECT("MTBF_"&amp;$B$1&amp;"[U hits]"),0,0)</f>
        <v>0</v>
      </c>
      <c r="G29" s="93" cm="1">
        <f t="array" aca="1" ref="G29" ca="1">_xlfn.XLOOKUP(MTBF_customer_ROW[[#This Row],[Week]],INDIRECT("MTBF_"&amp;$B$1&amp;"[Week]"),INDIRECT("MTBF_"&amp;$B$1&amp;"[MTBFp 1wma]"),0,0)</f>
        <v>0</v>
      </c>
      <c r="H29" s="95" cm="1">
        <f t="array" aca="1" ref="H29" ca="1">_xlfn.XLOOKUP(MTBF_customer_ROW[[#This Row],[Week]],INDIRECT("MTBF_"&amp;$B$1&amp;"[Week]"),INDIRECT("MTBF_"&amp;$B$1&amp;"[MTBFp 4wma]"),0,0)</f>
        <v>0</v>
      </c>
      <c r="I29" s="95" cm="1">
        <f t="array" aca="1" ref="I29" ca="1">_xlfn.XLOOKUP(MTBF_customer_ROW[[#This Row],[Week]],INDIRECT("MTBF_"&amp;$B$1&amp;"[Week]"),INDIRECT("MTBF_"&amp;$B$1&amp;"[MTBFp 13wma]"),0,0)</f>
        <v>0</v>
      </c>
      <c r="J29" s="95" cm="1">
        <f t="array" aca="1" ref="J29" ca="1">_xlfn.XLOOKUP(MTBF_customer_ROW[[#This Row],[Week]],INDIRECT("MTBF_"&amp;$B$1&amp;"[Week]"),INDIRECT("MTBF_"&amp;$B$1&amp;"[MTBFu 1wma]"),0,0)</f>
        <v>0</v>
      </c>
      <c r="K29" s="95" cm="1">
        <f t="array" aca="1" ref="K29" ca="1">_xlfn.XLOOKUP(MTBF_customer_ROW[[#This Row],[Week]],INDIRECT("MTBF_"&amp;$B$1&amp;"[Week]"),INDIRECT("MTBF_"&amp;$B$1&amp;"[MTBFu 4wma]"),0,0)</f>
        <v>0</v>
      </c>
      <c r="L29" s="95" cm="1">
        <f t="array" aca="1" ref="L29" ca="1">_xlfn.XLOOKUP(MTBF_customer_ROW[[#This Row],[Week]],INDIRECT("MTBF_"&amp;$B$1&amp;"[Week]"),INDIRECT("MTBF_"&amp;$B$1&amp;"[MTBFu 13wma]"),0,0)</f>
        <v>0</v>
      </c>
      <c r="O29" s="89">
        <v>2451</v>
      </c>
      <c r="P29" s="89" t="str">
        <f>"wk"&amp;MTBF_RoW[[#This Row],[Week]]</f>
        <v>wk2451</v>
      </c>
      <c r="Q29" s="93" t="e" cm="1">
        <f t="array" aca="1" ref="Q29" ca="1">_xlfn.XLOOKUP(MTBF_RoW[[#This Row],[Week]],INDIRECT("MTBF_"&amp;$P$1&amp;"[Week]"),INDIRECT("MTBF_"&amp;$P$1&amp;"[Productive time '[hrs']]"),0,0)+_xlfn.XLOOKUP(MTBF_RoW[[#This Row],[Week]],INDIRECT("MTBF_"&amp;$Q$1&amp;"[Week]"),INDIRECT("MTBF_"&amp;$Q$1&amp;"[Productive time '[hrs']]"),0,0)</f>
        <v>#REF!</v>
      </c>
      <c r="R29" s="93" t="e" cm="1">
        <f t="array" aca="1" ref="R29" ca="1">_xlfn.XLOOKUP(MTBF_RoW[[#This Row],[Week]],INDIRECT("MTBF_"&amp;$P$1&amp;"[Week]"),INDIRECT("MTBF_"&amp;$P$1&amp;"[Uptime '[hrs']]"),0,0)+_xlfn.XLOOKUP(MTBF_RoW[[#This Row],[Week]],INDIRECT("MTBF_"&amp;$Q$1&amp;"[Week]"),INDIRECT("MTBF_"&amp;$Q$1&amp;"[Uptime '[hrs']]"),0,0)</f>
        <v>#REF!</v>
      </c>
      <c r="S29" s="89" t="e" cm="1">
        <f t="array" aca="1" ref="S29" ca="1">_xlfn.XLOOKUP(MTBF_RoW[[#This Row],[Week]],INDIRECT("MTBF_"&amp;$P$1&amp;"[Week]"),INDIRECT("MTBF_"&amp;$P$1&amp;"[P hits]"),0,0)+_xlfn.XLOOKUP(MTBF_RoW[[#This Row],[Week]],INDIRECT("MTBF_"&amp;$Q$1&amp;"[Week]"),INDIRECT("MTBF_"&amp;$Q$1&amp;"[P hits]"),0,0)</f>
        <v>#REF!</v>
      </c>
      <c r="T29" s="89" t="e" cm="1">
        <f t="array" aca="1" ref="T29" ca="1">_xlfn.XLOOKUP(MTBF_RoW[[#This Row],[Week]],INDIRECT("MTBF_"&amp;$P$1&amp;"[Week]"),INDIRECT("MTBF_"&amp;$P$1&amp;"[U hits]"),0,0)+_xlfn.XLOOKUP(MTBF_RoW[[#This Row],[Week]],INDIRECT("MTBF_"&amp;$Q$1&amp;"[Week]"),INDIRECT("MTBF_"&amp;$Q$1&amp;"[U hits]"),0,0)</f>
        <v>#REF!</v>
      </c>
      <c r="U29" s="93" t="e">
        <f ca="1">IF(MTBF_RoW[[#This Row],[P hits]]=0,MTBF_RoW[[#This Row],[Productive time '[hrs']]],MTBF_RoW[[#This Row],[Productive time '[hrs']]]/MTBF_RoW[[#This Row],[P hits]])</f>
        <v>#REF!</v>
      </c>
      <c r="V29" s="93" t="e">
        <f t="shared" ca="1" si="4"/>
        <v>#REF!</v>
      </c>
      <c r="W29" s="95" t="e">
        <f t="shared" ca="1" si="5"/>
        <v>#REF!</v>
      </c>
      <c r="X29" s="93" t="e">
        <f ca="1">IF(MTBF_RoW[[#This Row],[U hits]]=0,MTBF_RoW[[#This Row],[Uptime '[hrs']]],MTBF_RoW[[#This Row],[Uptime '[hrs']]]/MTBF_RoW[[#This Row],[U hits]])</f>
        <v>#REF!</v>
      </c>
      <c r="Y29" s="93" t="e">
        <f t="shared" ca="1" si="6"/>
        <v>#REF!</v>
      </c>
      <c r="Z29" s="93" t="e">
        <f t="shared" ca="1" si="7"/>
        <v>#REF!</v>
      </c>
      <c r="AC29" s="89">
        <v>2451</v>
      </c>
      <c r="AD29" s="89" t="str">
        <f>"wk"&amp;AC29</f>
        <v>wk2451</v>
      </c>
      <c r="AE29" s="93">
        <f ca="1">MTBF_customer_ROW[[#This Row],[MTBFp 1wma]]</f>
        <v>0</v>
      </c>
      <c r="AF29" s="93">
        <f ca="1">MTBF_customer_ROW[[#This Row],[MTBFp 4wma]]</f>
        <v>0</v>
      </c>
      <c r="AG29" s="93" t="e">
        <f ca="1">IF(MTBF_customer_ROW[[#This Row],[MTBFp 13wma]]=0,NA(),MTBF_customer_ROW[[#This Row],[MTBFp 13wma]])</f>
        <v>#N/A</v>
      </c>
      <c r="AH29" s="93" t="e">
        <f ca="1">MTBF_RoW[[#This Row],[MTBFp 1wma]]</f>
        <v>#REF!</v>
      </c>
      <c r="AI29" s="93" t="e">
        <f ca="1">MTBF_RoW[[#This Row],[MTBFp 4wma]]</f>
        <v>#REF!</v>
      </c>
      <c r="AJ29" s="93" t="e">
        <f ca="1">IF(MTBF_RoW[[#This Row],[MTBFp 13wma]]=0,NA(),MTBF_RoW[[#This Row],[MTBFp 13wma]])</f>
        <v>#REF!</v>
      </c>
    </row>
    <row r="30" spans="1:36">
      <c r="A30" s="89">
        <v>2452</v>
      </c>
      <c r="B30" s="89" t="str">
        <f>"wk"&amp;MTBF_customer_ROW[[#This Row],[Week]]</f>
        <v>wk2452</v>
      </c>
      <c r="C30" s="93" cm="1">
        <f t="array" aca="1" ref="C30" ca="1">_xlfn.XLOOKUP(MTBF_customer_ROW[[#This Row],[Week]],INDIRECT("MTBF_"&amp;$B$1&amp;"[Week]"),INDIRECT("MTBF_"&amp;$B$1&amp;"[Productive time '[hrs']]"),0,0)</f>
        <v>0</v>
      </c>
      <c r="D30" s="93" cm="1">
        <f t="array" aca="1" ref="D30" ca="1">_xlfn.XLOOKUP(MTBF_customer_ROW[[#This Row],[Week]],INDIRECT("MTBF_"&amp;$B$1&amp;"[Week]"),INDIRECT("MTBF_"&amp;$B$1&amp;"[Uptime '[hrs']]"),0,0)</f>
        <v>0</v>
      </c>
      <c r="E30" s="89" cm="1">
        <f t="array" aca="1" ref="E30" ca="1">_xlfn.XLOOKUP(MTBF_customer_ROW[[#This Row],[Week]],INDIRECT("MTBF_"&amp;$B$1&amp;"[Week]"),INDIRECT("MTBF_"&amp;$B$1&amp;"[P hits]"),0,0)</f>
        <v>0</v>
      </c>
      <c r="F30" s="89" cm="1">
        <f t="array" aca="1" ref="F30" ca="1">_xlfn.XLOOKUP(MTBF_customer_ROW[[#This Row],[Week]],INDIRECT("MTBF_"&amp;$B$1&amp;"[Week]"),INDIRECT("MTBF_"&amp;$B$1&amp;"[U hits]"),0,0)</f>
        <v>0</v>
      </c>
      <c r="G30" s="93" cm="1">
        <f t="array" aca="1" ref="G30" ca="1">_xlfn.XLOOKUP(MTBF_customer_ROW[[#This Row],[Week]],INDIRECT("MTBF_"&amp;$B$1&amp;"[Week]"),INDIRECT("MTBF_"&amp;$B$1&amp;"[MTBFp 1wma]"),0,0)</f>
        <v>0</v>
      </c>
      <c r="H30" s="95" cm="1">
        <f t="array" aca="1" ref="H30" ca="1">_xlfn.XLOOKUP(MTBF_customer_ROW[[#This Row],[Week]],INDIRECT("MTBF_"&amp;$B$1&amp;"[Week]"),INDIRECT("MTBF_"&amp;$B$1&amp;"[MTBFp 4wma]"),0,0)</f>
        <v>0</v>
      </c>
      <c r="I30" s="95" cm="1">
        <f t="array" aca="1" ref="I30" ca="1">_xlfn.XLOOKUP(MTBF_customer_ROW[[#This Row],[Week]],INDIRECT("MTBF_"&amp;$B$1&amp;"[Week]"),INDIRECT("MTBF_"&amp;$B$1&amp;"[MTBFp 13wma]"),0,0)</f>
        <v>0</v>
      </c>
      <c r="J30" s="95" cm="1">
        <f t="array" aca="1" ref="J30" ca="1">_xlfn.XLOOKUP(MTBF_customer_ROW[[#This Row],[Week]],INDIRECT("MTBF_"&amp;$B$1&amp;"[Week]"),INDIRECT("MTBF_"&amp;$B$1&amp;"[MTBFu 1wma]"),0,0)</f>
        <v>0</v>
      </c>
      <c r="K30" s="95" cm="1">
        <f t="array" aca="1" ref="K30" ca="1">_xlfn.XLOOKUP(MTBF_customer_ROW[[#This Row],[Week]],INDIRECT("MTBF_"&amp;$B$1&amp;"[Week]"),INDIRECT("MTBF_"&amp;$B$1&amp;"[MTBFu 4wma]"),0,0)</f>
        <v>0</v>
      </c>
      <c r="L30" s="95" cm="1">
        <f t="array" aca="1" ref="L30" ca="1">_xlfn.XLOOKUP(MTBF_customer_ROW[[#This Row],[Week]],INDIRECT("MTBF_"&amp;$B$1&amp;"[Week]"),INDIRECT("MTBF_"&amp;$B$1&amp;"[MTBFu 13wma]"),0,0)</f>
        <v>0</v>
      </c>
      <c r="O30" s="89">
        <v>2452</v>
      </c>
      <c r="P30" s="89" t="str">
        <f>"wk"&amp;MTBF_RoW[[#This Row],[Week]]</f>
        <v>wk2452</v>
      </c>
      <c r="Q30" s="93" t="e" cm="1">
        <f t="array" aca="1" ref="Q30" ca="1">_xlfn.XLOOKUP(MTBF_RoW[[#This Row],[Week]],INDIRECT("MTBF_"&amp;$P$1&amp;"[Week]"),INDIRECT("MTBF_"&amp;$P$1&amp;"[Productive time '[hrs']]"),0,0)+_xlfn.XLOOKUP(MTBF_RoW[[#This Row],[Week]],INDIRECT("MTBF_"&amp;$Q$1&amp;"[Week]"),INDIRECT("MTBF_"&amp;$Q$1&amp;"[Productive time '[hrs']]"),0,0)</f>
        <v>#REF!</v>
      </c>
      <c r="R30" s="93" t="e" cm="1">
        <f t="array" aca="1" ref="R30" ca="1">_xlfn.XLOOKUP(MTBF_RoW[[#This Row],[Week]],INDIRECT("MTBF_"&amp;$P$1&amp;"[Week]"),INDIRECT("MTBF_"&amp;$P$1&amp;"[Uptime '[hrs']]"),0,0)+_xlfn.XLOOKUP(MTBF_RoW[[#This Row],[Week]],INDIRECT("MTBF_"&amp;$Q$1&amp;"[Week]"),INDIRECT("MTBF_"&amp;$Q$1&amp;"[Uptime '[hrs']]"),0,0)</f>
        <v>#REF!</v>
      </c>
      <c r="S30" s="89" t="e" cm="1">
        <f t="array" aca="1" ref="S30" ca="1">_xlfn.XLOOKUP(MTBF_RoW[[#This Row],[Week]],INDIRECT("MTBF_"&amp;$P$1&amp;"[Week]"),INDIRECT("MTBF_"&amp;$P$1&amp;"[P hits]"),0,0)+_xlfn.XLOOKUP(MTBF_RoW[[#This Row],[Week]],INDIRECT("MTBF_"&amp;$Q$1&amp;"[Week]"),INDIRECT("MTBF_"&amp;$Q$1&amp;"[P hits]"),0,0)</f>
        <v>#REF!</v>
      </c>
      <c r="T30" s="89" t="e" cm="1">
        <f t="array" aca="1" ref="T30" ca="1">_xlfn.XLOOKUP(MTBF_RoW[[#This Row],[Week]],INDIRECT("MTBF_"&amp;$P$1&amp;"[Week]"),INDIRECT("MTBF_"&amp;$P$1&amp;"[U hits]"),0,0)+_xlfn.XLOOKUP(MTBF_RoW[[#This Row],[Week]],INDIRECT("MTBF_"&amp;$Q$1&amp;"[Week]"),INDIRECT("MTBF_"&amp;$Q$1&amp;"[U hits]"),0,0)</f>
        <v>#REF!</v>
      </c>
      <c r="U30" s="93" t="e">
        <f ca="1">IF(MTBF_RoW[[#This Row],[P hits]]=0,MTBF_RoW[[#This Row],[Productive time '[hrs']]],MTBF_RoW[[#This Row],[Productive time '[hrs']]]/MTBF_RoW[[#This Row],[P hits]])</f>
        <v>#REF!</v>
      </c>
      <c r="V30" s="93" t="e">
        <f t="shared" ca="1" si="4"/>
        <v>#REF!</v>
      </c>
      <c r="W30" s="95" t="e">
        <f t="shared" ca="1" si="5"/>
        <v>#REF!</v>
      </c>
      <c r="X30" s="93" t="e">
        <f ca="1">IF(MTBF_RoW[[#This Row],[U hits]]=0,MTBF_RoW[[#This Row],[Uptime '[hrs']]],MTBF_RoW[[#This Row],[Uptime '[hrs']]]/MTBF_RoW[[#This Row],[U hits]])</f>
        <v>#REF!</v>
      </c>
      <c r="Y30" s="93" t="e">
        <f t="shared" ca="1" si="6"/>
        <v>#REF!</v>
      </c>
      <c r="Z30" s="93" t="e">
        <f t="shared" ca="1" si="7"/>
        <v>#REF!</v>
      </c>
      <c r="AC30" s="89">
        <v>2452</v>
      </c>
      <c r="AD30" s="89" t="str">
        <f>"wk"&amp;AC30</f>
        <v>wk2452</v>
      </c>
      <c r="AE30" s="93">
        <f ca="1">MTBF_customer_ROW[[#This Row],[MTBFp 1wma]]</f>
        <v>0</v>
      </c>
      <c r="AF30" s="93">
        <f ca="1">MTBF_customer_ROW[[#This Row],[MTBFp 4wma]]</f>
        <v>0</v>
      </c>
      <c r="AG30" s="93" t="e">
        <f ca="1">IF(MTBF_customer_ROW[[#This Row],[MTBFp 13wma]]=0,NA(),MTBF_customer_ROW[[#This Row],[MTBFp 13wma]])</f>
        <v>#N/A</v>
      </c>
      <c r="AH30" s="93" t="e">
        <f ca="1">MTBF_RoW[[#This Row],[MTBFp 1wma]]</f>
        <v>#REF!</v>
      </c>
      <c r="AI30" s="93" t="e">
        <f ca="1">MTBF_RoW[[#This Row],[MTBFp 4wma]]</f>
        <v>#REF!</v>
      </c>
      <c r="AJ30" s="93" t="e">
        <f ca="1">IF(MTBF_RoW[[#This Row],[MTBFp 13wma]]=0,NA(),MTBF_RoW[[#This Row],[MTBFp 13wma]])</f>
        <v>#REF!</v>
      </c>
    </row>
    <row r="31" spans="1:36">
      <c r="A31" s="89">
        <v>2501</v>
      </c>
      <c r="B31" s="89" t="str">
        <f>"wk"&amp;MTBF_customer_ROW[[#This Row],[Week]]</f>
        <v>wk2501</v>
      </c>
      <c r="C31" s="93" cm="1">
        <f t="array" aca="1" ref="C31" ca="1">_xlfn.XLOOKUP(MTBF_customer_ROW[[#This Row],[Week]],INDIRECT("MTBF_"&amp;$B$1&amp;"[Week]"),INDIRECT("MTBF_"&amp;$B$1&amp;"[Productive time '[hrs']]"),0,0)</f>
        <v>0</v>
      </c>
      <c r="D31" s="93" cm="1">
        <f t="array" aca="1" ref="D31" ca="1">_xlfn.XLOOKUP(MTBF_customer_ROW[[#This Row],[Week]],INDIRECT("MTBF_"&amp;$B$1&amp;"[Week]"),INDIRECT("MTBF_"&amp;$B$1&amp;"[Uptime '[hrs']]"),0,0)</f>
        <v>0</v>
      </c>
      <c r="E31" s="89" cm="1">
        <f t="array" aca="1" ref="E31" ca="1">_xlfn.XLOOKUP(MTBF_customer_ROW[[#This Row],[Week]],INDIRECT("MTBF_"&amp;$B$1&amp;"[Week]"),INDIRECT("MTBF_"&amp;$B$1&amp;"[P hits]"),0,0)</f>
        <v>0</v>
      </c>
      <c r="F31" s="89" cm="1">
        <f t="array" aca="1" ref="F31" ca="1">_xlfn.XLOOKUP(MTBF_customer_ROW[[#This Row],[Week]],INDIRECT("MTBF_"&amp;$B$1&amp;"[Week]"),INDIRECT("MTBF_"&amp;$B$1&amp;"[U hits]"),0,0)</f>
        <v>0</v>
      </c>
      <c r="G31" s="93" cm="1">
        <f t="array" aca="1" ref="G31" ca="1">_xlfn.XLOOKUP(MTBF_customer_ROW[[#This Row],[Week]],INDIRECT("MTBF_"&amp;$B$1&amp;"[Week]"),INDIRECT("MTBF_"&amp;$B$1&amp;"[MTBFp 1wma]"),0,0)</f>
        <v>0</v>
      </c>
      <c r="H31" s="95" cm="1">
        <f t="array" aca="1" ref="H31" ca="1">_xlfn.XLOOKUP(MTBF_customer_ROW[[#This Row],[Week]],INDIRECT("MTBF_"&amp;$B$1&amp;"[Week]"),INDIRECT("MTBF_"&amp;$B$1&amp;"[MTBFp 4wma]"),0,0)</f>
        <v>0</v>
      </c>
      <c r="I31" s="95" cm="1">
        <f t="array" aca="1" ref="I31" ca="1">_xlfn.XLOOKUP(MTBF_customer_ROW[[#This Row],[Week]],INDIRECT("MTBF_"&amp;$B$1&amp;"[Week]"),INDIRECT("MTBF_"&amp;$B$1&amp;"[MTBFp 13wma]"),0,0)</f>
        <v>0</v>
      </c>
      <c r="J31" s="95" cm="1">
        <f t="array" aca="1" ref="J31" ca="1">_xlfn.XLOOKUP(MTBF_customer_ROW[[#This Row],[Week]],INDIRECT("MTBF_"&amp;$B$1&amp;"[Week]"),INDIRECT("MTBF_"&amp;$B$1&amp;"[MTBFu 1wma]"),0,0)</f>
        <v>0</v>
      </c>
      <c r="K31" s="95" cm="1">
        <f t="array" aca="1" ref="K31" ca="1">_xlfn.XLOOKUP(MTBF_customer_ROW[[#This Row],[Week]],INDIRECT("MTBF_"&amp;$B$1&amp;"[Week]"),INDIRECT("MTBF_"&amp;$B$1&amp;"[MTBFu 4wma]"),0,0)</f>
        <v>0</v>
      </c>
      <c r="L31" s="95" cm="1">
        <f t="array" aca="1" ref="L31" ca="1">_xlfn.XLOOKUP(MTBF_customer_ROW[[#This Row],[Week]],INDIRECT("MTBF_"&amp;$B$1&amp;"[Week]"),INDIRECT("MTBF_"&amp;$B$1&amp;"[MTBFu 13wma]"),0,0)</f>
        <v>0</v>
      </c>
      <c r="O31" s="89">
        <v>2501</v>
      </c>
      <c r="P31" s="89" t="str">
        <f>"wk"&amp;MTBF_RoW[[#This Row],[Week]]</f>
        <v>wk2501</v>
      </c>
      <c r="Q31" s="93" t="e" cm="1">
        <f t="array" aca="1" ref="Q31" ca="1">_xlfn.XLOOKUP(MTBF_RoW[[#This Row],[Week]],INDIRECT("MTBF_"&amp;$P$1&amp;"[Week]"),INDIRECT("MTBF_"&amp;$P$1&amp;"[Productive time '[hrs']]"),0,0)+_xlfn.XLOOKUP(MTBF_RoW[[#This Row],[Week]],INDIRECT("MTBF_"&amp;$Q$1&amp;"[Week]"),INDIRECT("MTBF_"&amp;$Q$1&amp;"[Productive time '[hrs']]"),0,0)</f>
        <v>#REF!</v>
      </c>
      <c r="R31" s="93" t="e" cm="1">
        <f t="array" aca="1" ref="R31" ca="1">_xlfn.XLOOKUP(MTBF_RoW[[#This Row],[Week]],INDIRECT("MTBF_"&amp;$P$1&amp;"[Week]"),INDIRECT("MTBF_"&amp;$P$1&amp;"[Uptime '[hrs']]"),0,0)+_xlfn.XLOOKUP(MTBF_RoW[[#This Row],[Week]],INDIRECT("MTBF_"&amp;$Q$1&amp;"[Week]"),INDIRECT("MTBF_"&amp;$Q$1&amp;"[Uptime '[hrs']]"),0,0)</f>
        <v>#REF!</v>
      </c>
      <c r="S31" s="89" t="e" cm="1">
        <f t="array" aca="1" ref="S31" ca="1">_xlfn.XLOOKUP(MTBF_RoW[[#This Row],[Week]],INDIRECT("MTBF_"&amp;$P$1&amp;"[Week]"),INDIRECT("MTBF_"&amp;$P$1&amp;"[P hits]"),0,0)+_xlfn.XLOOKUP(MTBF_RoW[[#This Row],[Week]],INDIRECT("MTBF_"&amp;$Q$1&amp;"[Week]"),INDIRECT("MTBF_"&amp;$Q$1&amp;"[P hits]"),0,0)</f>
        <v>#REF!</v>
      </c>
      <c r="T31" s="89" t="e" cm="1">
        <f t="array" aca="1" ref="T31" ca="1">_xlfn.XLOOKUP(MTBF_RoW[[#This Row],[Week]],INDIRECT("MTBF_"&amp;$P$1&amp;"[Week]"),INDIRECT("MTBF_"&amp;$P$1&amp;"[U hits]"),0,0)+_xlfn.XLOOKUP(MTBF_RoW[[#This Row],[Week]],INDIRECT("MTBF_"&amp;$Q$1&amp;"[Week]"),INDIRECT("MTBF_"&amp;$Q$1&amp;"[U hits]"),0,0)</f>
        <v>#REF!</v>
      </c>
      <c r="U31" s="93" t="e">
        <f ca="1">IF(MTBF_RoW[[#This Row],[P hits]]=0,MTBF_RoW[[#This Row],[Productive time '[hrs']]],MTBF_RoW[[#This Row],[Productive time '[hrs']]]/MTBF_RoW[[#This Row],[P hits]])</f>
        <v>#REF!</v>
      </c>
      <c r="V31" s="93" t="e">
        <f t="shared" ca="1" si="4"/>
        <v>#REF!</v>
      </c>
      <c r="W31" s="95" t="e">
        <f t="shared" ca="1" si="5"/>
        <v>#REF!</v>
      </c>
      <c r="X31" s="93" t="e">
        <f ca="1">IF(MTBF_RoW[[#This Row],[U hits]]=0,MTBF_RoW[[#This Row],[Uptime '[hrs']]],MTBF_RoW[[#This Row],[Uptime '[hrs']]]/MTBF_RoW[[#This Row],[U hits]])</f>
        <v>#REF!</v>
      </c>
      <c r="Y31" s="93" t="e">
        <f t="shared" ca="1" si="6"/>
        <v>#REF!</v>
      </c>
      <c r="Z31" s="93" t="e">
        <f t="shared" ca="1" si="7"/>
        <v>#REF!</v>
      </c>
      <c r="AC31" s="89">
        <v>2501</v>
      </c>
      <c r="AD31" s="89" t="str">
        <f>"wk"&amp;AC31</f>
        <v>wk2501</v>
      </c>
      <c r="AE31" s="93">
        <f ca="1">MTBF_customer_ROW[[#This Row],[MTBFp 1wma]]</f>
        <v>0</v>
      </c>
      <c r="AF31" s="93">
        <f ca="1">MTBF_customer_ROW[[#This Row],[MTBFp 4wma]]</f>
        <v>0</v>
      </c>
      <c r="AG31" s="93" t="e">
        <f ca="1">IF(MTBF_customer_ROW[[#This Row],[MTBFp 13wma]]=0,NA(),MTBF_customer_ROW[[#This Row],[MTBFp 13wma]])</f>
        <v>#N/A</v>
      </c>
      <c r="AH31" s="93" t="e">
        <f ca="1">MTBF_RoW[[#This Row],[MTBFp 1wma]]</f>
        <v>#REF!</v>
      </c>
      <c r="AI31" s="93" t="e">
        <f ca="1">MTBF_RoW[[#This Row],[MTBFp 4wma]]</f>
        <v>#REF!</v>
      </c>
      <c r="AJ31" s="93" t="e">
        <f ca="1">IF(MTBF_RoW[[#This Row],[MTBFp 13wma]]=0,NA(),MTBF_RoW[[#This Row],[MTBFp 13wma]])</f>
        <v>#REF!</v>
      </c>
    </row>
    <row r="32" spans="1:36">
      <c r="A32" s="89">
        <v>2502</v>
      </c>
      <c r="B32" s="89" t="str">
        <f>"wk"&amp;MTBF_customer_ROW[[#This Row],[Week]]</f>
        <v>wk2502</v>
      </c>
      <c r="C32" s="93" cm="1">
        <f t="array" aca="1" ref="C32" ca="1">_xlfn.XLOOKUP(MTBF_customer_ROW[[#This Row],[Week]],INDIRECT("MTBF_"&amp;$B$1&amp;"[Week]"),INDIRECT("MTBF_"&amp;$B$1&amp;"[Productive time '[hrs']]"),0,0)</f>
        <v>0</v>
      </c>
      <c r="D32" s="93" cm="1">
        <f t="array" aca="1" ref="D32" ca="1">_xlfn.XLOOKUP(MTBF_customer_ROW[[#This Row],[Week]],INDIRECT("MTBF_"&amp;$B$1&amp;"[Week]"),INDIRECT("MTBF_"&amp;$B$1&amp;"[Uptime '[hrs']]"),0,0)</f>
        <v>0</v>
      </c>
      <c r="E32" s="89" cm="1">
        <f t="array" aca="1" ref="E32" ca="1">_xlfn.XLOOKUP(MTBF_customer_ROW[[#This Row],[Week]],INDIRECT("MTBF_"&amp;$B$1&amp;"[Week]"),INDIRECT("MTBF_"&amp;$B$1&amp;"[P hits]"),0,0)</f>
        <v>0</v>
      </c>
      <c r="F32" s="89" cm="1">
        <f t="array" aca="1" ref="F32" ca="1">_xlfn.XLOOKUP(MTBF_customer_ROW[[#This Row],[Week]],INDIRECT("MTBF_"&amp;$B$1&amp;"[Week]"),INDIRECT("MTBF_"&amp;$B$1&amp;"[U hits]"),0,0)</f>
        <v>0</v>
      </c>
      <c r="G32" s="93" cm="1">
        <f t="array" aca="1" ref="G32" ca="1">_xlfn.XLOOKUP(MTBF_customer_ROW[[#This Row],[Week]],INDIRECT("MTBF_"&amp;$B$1&amp;"[Week]"),INDIRECT("MTBF_"&amp;$B$1&amp;"[MTBFp 1wma]"),0,0)</f>
        <v>0</v>
      </c>
      <c r="H32" s="95" cm="1">
        <f t="array" aca="1" ref="H32" ca="1">_xlfn.XLOOKUP(MTBF_customer_ROW[[#This Row],[Week]],INDIRECT("MTBF_"&amp;$B$1&amp;"[Week]"),INDIRECT("MTBF_"&amp;$B$1&amp;"[MTBFp 4wma]"),0,0)</f>
        <v>0</v>
      </c>
      <c r="I32" s="95" cm="1">
        <f t="array" aca="1" ref="I32" ca="1">_xlfn.XLOOKUP(MTBF_customer_ROW[[#This Row],[Week]],INDIRECT("MTBF_"&amp;$B$1&amp;"[Week]"),INDIRECT("MTBF_"&amp;$B$1&amp;"[MTBFp 13wma]"),0,0)</f>
        <v>0</v>
      </c>
      <c r="J32" s="95" cm="1">
        <f t="array" aca="1" ref="J32" ca="1">_xlfn.XLOOKUP(MTBF_customer_ROW[[#This Row],[Week]],INDIRECT("MTBF_"&amp;$B$1&amp;"[Week]"),INDIRECT("MTBF_"&amp;$B$1&amp;"[MTBFu 1wma]"),0,0)</f>
        <v>0</v>
      </c>
      <c r="K32" s="95" cm="1">
        <f t="array" aca="1" ref="K32" ca="1">_xlfn.XLOOKUP(MTBF_customer_ROW[[#This Row],[Week]],INDIRECT("MTBF_"&amp;$B$1&amp;"[Week]"),INDIRECT("MTBF_"&amp;$B$1&amp;"[MTBFu 4wma]"),0,0)</f>
        <v>0</v>
      </c>
      <c r="L32" s="95" cm="1">
        <f t="array" aca="1" ref="L32" ca="1">_xlfn.XLOOKUP(MTBF_customer_ROW[[#This Row],[Week]],INDIRECT("MTBF_"&amp;$B$1&amp;"[Week]"),INDIRECT("MTBF_"&amp;$B$1&amp;"[MTBFu 13wma]"),0,0)</f>
        <v>0</v>
      </c>
      <c r="O32" s="89">
        <v>2502</v>
      </c>
      <c r="P32" s="89" t="str">
        <f>"wk"&amp;MTBF_RoW[[#This Row],[Week]]</f>
        <v>wk2502</v>
      </c>
      <c r="Q32" s="93" t="e" cm="1">
        <f t="array" aca="1" ref="Q32" ca="1">_xlfn.XLOOKUP(MTBF_RoW[[#This Row],[Week]],INDIRECT("MTBF_"&amp;$P$1&amp;"[Week]"),INDIRECT("MTBF_"&amp;$P$1&amp;"[Productive time '[hrs']]"),0,0)+_xlfn.XLOOKUP(MTBF_RoW[[#This Row],[Week]],INDIRECT("MTBF_"&amp;$Q$1&amp;"[Week]"),INDIRECT("MTBF_"&amp;$Q$1&amp;"[Productive time '[hrs']]"),0,0)</f>
        <v>#REF!</v>
      </c>
      <c r="R32" s="93" t="e" cm="1">
        <f t="array" aca="1" ref="R32" ca="1">_xlfn.XLOOKUP(MTBF_RoW[[#This Row],[Week]],INDIRECT("MTBF_"&amp;$P$1&amp;"[Week]"),INDIRECT("MTBF_"&amp;$P$1&amp;"[Uptime '[hrs']]"),0,0)+_xlfn.XLOOKUP(MTBF_RoW[[#This Row],[Week]],INDIRECT("MTBF_"&amp;$Q$1&amp;"[Week]"),INDIRECT("MTBF_"&amp;$Q$1&amp;"[Uptime '[hrs']]"),0,0)</f>
        <v>#REF!</v>
      </c>
      <c r="S32" s="89" t="e" cm="1">
        <f t="array" aca="1" ref="S32" ca="1">_xlfn.XLOOKUP(MTBF_RoW[[#This Row],[Week]],INDIRECT("MTBF_"&amp;$P$1&amp;"[Week]"),INDIRECT("MTBF_"&amp;$P$1&amp;"[P hits]"),0,0)+_xlfn.XLOOKUP(MTBF_RoW[[#This Row],[Week]],INDIRECT("MTBF_"&amp;$Q$1&amp;"[Week]"),INDIRECT("MTBF_"&amp;$Q$1&amp;"[P hits]"),0,0)</f>
        <v>#REF!</v>
      </c>
      <c r="T32" s="89" t="e" cm="1">
        <f t="array" aca="1" ref="T32" ca="1">_xlfn.XLOOKUP(MTBF_RoW[[#This Row],[Week]],INDIRECT("MTBF_"&amp;$P$1&amp;"[Week]"),INDIRECT("MTBF_"&amp;$P$1&amp;"[U hits]"),0,0)+_xlfn.XLOOKUP(MTBF_RoW[[#This Row],[Week]],INDIRECT("MTBF_"&amp;$Q$1&amp;"[Week]"),INDIRECT("MTBF_"&amp;$Q$1&amp;"[U hits]"),0,0)</f>
        <v>#REF!</v>
      </c>
      <c r="U32" s="93" t="e">
        <f ca="1">IF(MTBF_RoW[[#This Row],[P hits]]=0,MTBF_RoW[[#This Row],[Productive time '[hrs']]],MTBF_RoW[[#This Row],[Productive time '[hrs']]]/MTBF_RoW[[#This Row],[P hits]])</f>
        <v>#REF!</v>
      </c>
      <c r="V32" s="93" t="e">
        <f t="shared" ca="1" si="4"/>
        <v>#REF!</v>
      </c>
      <c r="W32" s="95" t="e">
        <f t="shared" ca="1" si="5"/>
        <v>#REF!</v>
      </c>
      <c r="X32" s="93" t="e">
        <f ca="1">IF(MTBF_RoW[[#This Row],[U hits]]=0,MTBF_RoW[[#This Row],[Uptime '[hrs']]],MTBF_RoW[[#This Row],[Uptime '[hrs']]]/MTBF_RoW[[#This Row],[U hits]])</f>
        <v>#REF!</v>
      </c>
      <c r="Y32" s="93" t="e">
        <f t="shared" ca="1" si="6"/>
        <v>#REF!</v>
      </c>
      <c r="Z32" s="93" t="e">
        <f t="shared" ca="1" si="7"/>
        <v>#REF!</v>
      </c>
      <c r="AC32" s="89">
        <v>2502</v>
      </c>
      <c r="AD32" s="89" t="str">
        <f>"wk"&amp;AC32</f>
        <v>wk2502</v>
      </c>
      <c r="AE32" s="93">
        <f ca="1">MTBF_customer_ROW[[#This Row],[MTBFp 1wma]]</f>
        <v>0</v>
      </c>
      <c r="AF32" s="93">
        <f ca="1">MTBF_customer_ROW[[#This Row],[MTBFp 4wma]]</f>
        <v>0</v>
      </c>
      <c r="AG32" s="93" t="e">
        <f ca="1">IF(MTBF_customer_ROW[[#This Row],[MTBFp 13wma]]=0,NA(),MTBF_customer_ROW[[#This Row],[MTBFp 13wma]])</f>
        <v>#N/A</v>
      </c>
      <c r="AH32" s="93" t="e">
        <f ca="1">MTBF_RoW[[#This Row],[MTBFp 1wma]]</f>
        <v>#REF!</v>
      </c>
      <c r="AI32" s="93" t="e">
        <f ca="1">MTBF_RoW[[#This Row],[MTBFp 4wma]]</f>
        <v>#REF!</v>
      </c>
      <c r="AJ32" s="93" t="e">
        <f ca="1">IF(MTBF_RoW[[#This Row],[MTBFp 13wma]]=0,NA(),MTBF_RoW[[#This Row],[MTBFp 13wma]])</f>
        <v>#REF!</v>
      </c>
    </row>
  </sheetData>
  <dataValidations count="3">
    <dataValidation type="list" allowBlank="1" showInputMessage="1" showErrorMessage="1" sqref="B1" xr:uid="{103B263B-686A-4FD1-9C59-9D1AAF320D7F}">
      <formula1>"Intel,SEC,tsmc"</formula1>
    </dataValidation>
    <dataValidation type="list" allowBlank="1" showInputMessage="1" showErrorMessage="1" sqref="B4" xr:uid="{C0099311-B2DD-4F2A-9EB5-5E9752C5B17C}">
      <formula1>INDIRECT("MTBF_customer_ROW[Week]")</formula1>
    </dataValidation>
    <dataValidation type="list" allowBlank="1" showInputMessage="1" showErrorMessage="1" sqref="P4:P5" xr:uid="{D61D845A-3A10-4797-B278-71858BE85628}">
      <formula1>INDIRECT("MTBF_RoW[Week]")</formula1>
    </dataValidation>
  </dataValidations>
  <pageMargins left="0.7" right="0.7" top="0.75" bottom="0.75" header="0.3" footer="0.3"/>
  <drawing r:id="rId1"/>
  <tableParts count="3">
    <tablePart r:id="rId2"/>
    <tablePart r:id="rId3"/>
    <tablePart r:id="rId4"/>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4FD0F-E360-43E1-A33F-33D30410ACB5}">
  <sheetPr codeName="Sheet11">
    <tabColor rgb="FF92D050"/>
  </sheetPr>
  <dimension ref="A1:L30"/>
  <sheetViews>
    <sheetView workbookViewId="0">
      <selection activeCell="K33" sqref="K33"/>
    </sheetView>
  </sheetViews>
  <sheetFormatPr defaultRowHeight="15"/>
  <cols>
    <col min="1" max="1" width="16.42578125" bestFit="1" customWidth="1"/>
    <col min="3" max="3" width="23.140625" customWidth="1"/>
    <col min="4" max="4" width="21.85546875" customWidth="1"/>
    <col min="5" max="5" width="14.140625" customWidth="1"/>
    <col min="8" max="12" width="14.85546875" customWidth="1"/>
  </cols>
  <sheetData>
    <row r="1" spans="1:12">
      <c r="A1" s="37" t="s">
        <v>1144</v>
      </c>
      <c r="C1" s="92" t="str">
        <f>MTBF_Intel[[#Headers],[Productive time '[hrs']]]</f>
        <v>Productive time [hrs]</v>
      </c>
      <c r="D1" s="92" t="str">
        <f>MTBF_Intel[[#Headers],[Uptime '[hrs']]]</f>
        <v>Uptime [hrs]</v>
      </c>
      <c r="E1" s="92" t="str">
        <f>MTBF_Intel[[#Headers],[P hits]]</f>
        <v>P hits</v>
      </c>
      <c r="F1" s="92" t="str">
        <f>MTBF_Intel[[#Headers],[U hits]]</f>
        <v>U hits</v>
      </c>
      <c r="G1" s="92"/>
      <c r="H1" s="92" t="str">
        <f>MTBF_Intel[[#Headers],[MTBFp 4wma]]</f>
        <v>MTBFp 4wma</v>
      </c>
      <c r="I1" s="92" t="str">
        <f>MTBF_Intel[[#Headers],[MTBFp 13wma]]</f>
        <v>MTBFp 13wma</v>
      </c>
      <c r="J1" s="92"/>
      <c r="K1" s="92" t="str">
        <f>MTBF_Intel[[#Headers],[MTBFu 4wma]]</f>
        <v>MTBFu 4wma</v>
      </c>
      <c r="L1" s="92" t="str">
        <f>MTBF_Intel[[#Headers],[MTBFu 13wma]]</f>
        <v>MTBFu 13wma</v>
      </c>
    </row>
    <row r="2" spans="1:12">
      <c r="A2" s="87" t="s">
        <v>1134</v>
      </c>
      <c r="B2" s="90">
        <f>MAX(MTBF_Intel[Week])</f>
        <v>2502</v>
      </c>
      <c r="C2" s="94">
        <f>SUMIFS(MTBF_Intel[Productive time '[hrs']],MTBF_Intel[Week],"&lt;="&amp;B2,MTBF_Intel[Week],"&gt;="&amp;(B2-3))</f>
        <v>0</v>
      </c>
      <c r="D2" s="94">
        <f>SUMIFS(MTBF_Intel[Uptime '[hrs']],MTBF_Intel[Week],"&lt;="&amp;B2,MTBF_Intel[Week],"&gt;="&amp;(B2-3))</f>
        <v>0</v>
      </c>
      <c r="E2" s="88">
        <f>SUMIFS(MTBF_Intel[P hits],MTBF_Intel[Week],"&lt;="&amp;B2,MTBF_Intel[Week],"&gt;="&amp;(B2-3))</f>
        <v>0</v>
      </c>
      <c r="F2" s="88">
        <f>SUMIFS(MTBF_Intel[U hits],MTBF_Intel[Week],"&lt;="&amp;B2,MTBF_Intel[Week],"&gt;="&amp;(B2-3))</f>
        <v>0</v>
      </c>
      <c r="G2" s="88"/>
      <c r="H2" s="91">
        <f>_xlfn.XLOOKUP(B2,MTBF_Intel[Week],MTBF_Intel[MTBFp 4wma],"not found",0)</f>
        <v>0</v>
      </c>
      <c r="I2" s="91">
        <f>_xlfn.XLOOKUP(B2,MTBF_Intel[Week],MTBF_Intel[MTBFp 13wma],"not found",0)</f>
        <v>0</v>
      </c>
      <c r="J2" s="88"/>
      <c r="K2" s="91">
        <f>_xlfn.XLOOKUP(B2,MTBF_Intel[Week],MTBF_Intel[MTBFu 4wma],"not found",0)</f>
        <v>0</v>
      </c>
      <c r="L2" s="91">
        <f>_xlfn.XLOOKUP(B2,MTBF_Intel[Week],MTBF_Intel[MTBFu 13wma],"not found",0)</f>
        <v>0</v>
      </c>
    </row>
    <row r="3" spans="1:12">
      <c r="A3" s="147"/>
      <c r="C3" s="148"/>
      <c r="D3" s="148"/>
      <c r="E3" s="92"/>
      <c r="F3" s="92"/>
      <c r="G3" s="92"/>
      <c r="H3" s="149"/>
      <c r="I3" s="149"/>
      <c r="J3" s="92"/>
      <c r="K3" s="149"/>
    </row>
    <row r="5" spans="1:12">
      <c r="A5" s="37" t="s">
        <v>83</v>
      </c>
      <c r="B5" s="37" t="s">
        <v>1135</v>
      </c>
      <c r="C5" s="37" t="s">
        <v>1136</v>
      </c>
      <c r="D5" s="37" t="s">
        <v>1137</v>
      </c>
      <c r="E5" s="37" t="s">
        <v>75</v>
      </c>
      <c r="F5" s="37" t="s">
        <v>76</v>
      </c>
      <c r="G5" s="37" t="s">
        <v>1138</v>
      </c>
      <c r="H5" s="37" t="s">
        <v>1139</v>
      </c>
      <c r="I5" s="37" t="s">
        <v>1140</v>
      </c>
      <c r="J5" s="37" t="s">
        <v>1141</v>
      </c>
      <c r="K5" s="37" t="s">
        <v>1142</v>
      </c>
      <c r="L5" s="37" t="s">
        <v>1143</v>
      </c>
    </row>
    <row r="6" spans="1:12">
      <c r="A6" s="89">
        <v>2430</v>
      </c>
      <c r="B6" s="89" t="str">
        <f t="shared" ref="B6:B19" si="0">"wk"&amp;A6</f>
        <v>wk2430</v>
      </c>
      <c r="C6" s="93">
        <f>SUMIFS(Runhours_Table[Productive Hours],Runhours_Table[Year-Week Number],MTBF_Intel[[#This Row],[Week]],Runhours_Table[System],$A$1)</f>
        <v>0</v>
      </c>
      <c r="D6" s="93">
        <f>SUMIFS(Runhours_Table[Up Time],Runhours_Table[Year-Week Number],MTBF_Intel[[#This Row],[Week]],Runhours_Table[System],$A$1)</f>
        <v>0</v>
      </c>
      <c r="E6" s="89">
        <f>COUNTIFS(Errorlog_table[System],$A$1,Errorlog_table[Year_Week_Number],MTBF_Intel[[#This Row],[Week]],Errorlog_table[P_Hits],"Y",Errorlog_table[Reconciled],"Y")</f>
        <v>0</v>
      </c>
      <c r="F6" s="89">
        <f>COUNTIFS(Errorlog_table[System],$A$1,Errorlog_table[Year_Week_Number],MTBF_Intel[[#This Row],[Week]],Errorlog_table[U_Hits],"Y",Errorlog_table[Reconciled],"Y")</f>
        <v>0</v>
      </c>
      <c r="G6" s="95">
        <f>IF(MTBF_Intel[[#This Row],[P hits]]=0,MTBF_Intel[[#This Row],[Productive time '[hrs']]],MTBF_Intel[[#This Row],[Productive time '[hrs']]]/MTBF_Intel[[#This Row],[P hits]])</f>
        <v>0</v>
      </c>
      <c r="H6" s="95">
        <f t="shared" ref="H6:H25" si="1">IF(SUM(E3:E6)=0,SUM(C3:C6),SUM(C3:C6)/SUM(E3:E6))</f>
        <v>0</v>
      </c>
      <c r="I6" s="89"/>
      <c r="J6" s="95">
        <f>IF(MTBF_Intel[[#This Row],[U hits]]=0,MTBF_Intel[[#This Row],[Uptime '[hrs']]],MTBF_Intel[[#This Row],[Uptime '[hrs']]]/MTBF_Intel[[#This Row],[U hits]])</f>
        <v>0</v>
      </c>
      <c r="K6" s="95">
        <f t="shared" ref="K6:K25" si="2">IF(SUM(F3:F6)=0,SUM(D3:D6),SUM(D3:D6)/SUM(F3:F6))</f>
        <v>0</v>
      </c>
      <c r="L6" s="95"/>
    </row>
    <row r="7" spans="1:12">
      <c r="A7" s="89">
        <v>2431</v>
      </c>
      <c r="B7" s="89" t="str">
        <f t="shared" si="0"/>
        <v>wk2431</v>
      </c>
      <c r="C7" s="93">
        <f>SUMIFS(Runhours_Table[Productive Hours],Runhours_Table[Year-Week Number],MTBF_Intel[[#This Row],[Week]],Runhours_Table[System],$A$1)</f>
        <v>0</v>
      </c>
      <c r="D7" s="93">
        <f>SUMIFS(Runhours_Table[Up Time],Runhours_Table[Year-Week Number],MTBF_Intel[[#This Row],[Week]],Runhours_Table[System],$A$1)</f>
        <v>0</v>
      </c>
      <c r="E7" s="89">
        <f>COUNTIFS(Errorlog_table[System],$A$1,Errorlog_table[Year_Week_Number],MTBF_Intel[[#This Row],[Week]],Errorlog_table[P_Hits],"Y",Errorlog_table[Reconciled],"Y")</f>
        <v>0</v>
      </c>
      <c r="F7" s="89">
        <f>COUNTIFS(Errorlog_table[System],$A$1,Errorlog_table[Year_Week_Number],MTBF_Intel[[#This Row],[Week]],Errorlog_table[U_Hits],"Y",Errorlog_table[Reconciled],"Y")</f>
        <v>0</v>
      </c>
      <c r="G7" s="95">
        <f>IF(MTBF_Intel[[#This Row],[P hits]]=0,MTBF_Intel[[#This Row],[Productive time '[hrs']]],MTBF_Intel[[#This Row],[Productive time '[hrs']]]/MTBF_Intel[[#This Row],[P hits]])</f>
        <v>0</v>
      </c>
      <c r="H7" s="95">
        <f t="shared" si="1"/>
        <v>0</v>
      </c>
      <c r="I7" s="89"/>
      <c r="J7" s="95">
        <f>IF(MTBF_Intel[[#This Row],[U hits]]=0,MTBF_Intel[[#This Row],[Uptime '[hrs']]],MTBF_Intel[[#This Row],[Uptime '[hrs']]]/MTBF_Intel[[#This Row],[U hits]])</f>
        <v>0</v>
      </c>
      <c r="K7" s="95">
        <f t="shared" si="2"/>
        <v>0</v>
      </c>
      <c r="L7" s="95"/>
    </row>
    <row r="8" spans="1:12">
      <c r="A8" s="89">
        <v>2432</v>
      </c>
      <c r="B8" s="89" t="str">
        <f t="shared" si="0"/>
        <v>wk2432</v>
      </c>
      <c r="C8" s="93">
        <f>SUMIFS(Runhours_Table[Productive Hours],Runhours_Table[Year-Week Number],MTBF_Intel[[#This Row],[Week]],Runhours_Table[System],$A$1)</f>
        <v>0</v>
      </c>
      <c r="D8" s="93">
        <f>SUMIFS(Runhours_Table[Up Time],Runhours_Table[Year-Week Number],MTBF_Intel[[#This Row],[Week]],Runhours_Table[System],$A$1)</f>
        <v>0</v>
      </c>
      <c r="E8" s="89">
        <f>COUNTIFS(Errorlog_table[System],$A$1,Errorlog_table[Year_Week_Number],MTBF_Intel[[#This Row],[Week]],Errorlog_table[P_Hits],"Y",Errorlog_table[Reconciled],"Y")</f>
        <v>0</v>
      </c>
      <c r="F8" s="89">
        <f>COUNTIFS(Errorlog_table[System],$A$1,Errorlog_table[Year_Week_Number],MTBF_Intel[[#This Row],[Week]],Errorlog_table[U_Hits],"Y",Errorlog_table[Reconciled],"Y")</f>
        <v>0</v>
      </c>
      <c r="G8" s="95">
        <f>IF(MTBF_Intel[[#This Row],[P hits]]=0,MTBF_Intel[[#This Row],[Productive time '[hrs']]],MTBF_Intel[[#This Row],[Productive time '[hrs']]]/MTBF_Intel[[#This Row],[P hits]])</f>
        <v>0</v>
      </c>
      <c r="H8" s="95">
        <f t="shared" si="1"/>
        <v>0</v>
      </c>
      <c r="I8" s="95"/>
      <c r="J8" s="95">
        <f>IF(MTBF_Intel[[#This Row],[U hits]]=0,MTBF_Intel[[#This Row],[Uptime '[hrs']]],MTBF_Intel[[#This Row],[Uptime '[hrs']]]/MTBF_Intel[[#This Row],[U hits]])</f>
        <v>0</v>
      </c>
      <c r="K8" s="95">
        <f t="shared" si="2"/>
        <v>0</v>
      </c>
      <c r="L8" s="95"/>
    </row>
    <row r="9" spans="1:12">
      <c r="A9" s="89">
        <v>2433</v>
      </c>
      <c r="B9" s="89" t="str">
        <f t="shared" si="0"/>
        <v>wk2433</v>
      </c>
      <c r="C9" s="93">
        <f>SUMIFS(Runhours_Table[Productive Hours],Runhours_Table[Year-Week Number],MTBF_Intel[[#This Row],[Week]],Runhours_Table[System],$A$1)</f>
        <v>0</v>
      </c>
      <c r="D9" s="93">
        <f>SUMIFS(Runhours_Table[Up Time],Runhours_Table[Year-Week Number],MTBF_Intel[[#This Row],[Week]],Runhours_Table[System],$A$1)</f>
        <v>0</v>
      </c>
      <c r="E9" s="89">
        <f>COUNTIFS(Errorlog_table[System],$A$1,Errorlog_table[Year_Week_Number],MTBF_Intel[[#This Row],[Week]],Errorlog_table[P_Hits],"Y",Errorlog_table[Reconciled],"Y")</f>
        <v>0</v>
      </c>
      <c r="F9" s="89">
        <f>COUNTIFS(Errorlog_table[System],$A$1,Errorlog_table[Year_Week_Number],MTBF_Intel[[#This Row],[Week]],Errorlog_table[U_Hits],"Y",Errorlog_table[Reconciled],"Y")</f>
        <v>0</v>
      </c>
      <c r="G9" s="95">
        <f>IF(MTBF_Intel[[#This Row],[P hits]]=0,MTBF_Intel[[#This Row],[Productive time '[hrs']]],MTBF_Intel[[#This Row],[Productive time '[hrs']]]/MTBF_Intel[[#This Row],[P hits]])</f>
        <v>0</v>
      </c>
      <c r="H9" s="95">
        <f t="shared" si="1"/>
        <v>0</v>
      </c>
      <c r="I9" s="95"/>
      <c r="J9" s="95">
        <f>IF(MTBF_Intel[[#This Row],[U hits]]=0,MTBF_Intel[[#This Row],[Uptime '[hrs']]],MTBF_Intel[[#This Row],[Uptime '[hrs']]]/MTBF_Intel[[#This Row],[U hits]])</f>
        <v>0</v>
      </c>
      <c r="K9" s="95">
        <f t="shared" si="2"/>
        <v>0</v>
      </c>
      <c r="L9" s="95"/>
    </row>
    <row r="10" spans="1:12">
      <c r="A10" s="89">
        <v>2434</v>
      </c>
      <c r="B10" s="89" t="str">
        <f t="shared" si="0"/>
        <v>wk2434</v>
      </c>
      <c r="C10" s="93">
        <f>SUMIFS(Runhours_Table[Productive Hours],Runhours_Table[Year-Week Number],MTBF_Intel[[#This Row],[Week]],Runhours_Table[System],$A$1)</f>
        <v>0</v>
      </c>
      <c r="D10" s="93">
        <f>SUMIFS(Runhours_Table[Up Time],Runhours_Table[Year-Week Number],MTBF_Intel[[#This Row],[Week]],Runhours_Table[System],$A$1)</f>
        <v>0</v>
      </c>
      <c r="E10" s="89">
        <f>COUNTIFS(Errorlog_table[System],$A$1,Errorlog_table[Year_Week_Number],MTBF_Intel[[#This Row],[Week]],Errorlog_table[P_Hits],"Y",Errorlog_table[Reconciled],"Y")</f>
        <v>0</v>
      </c>
      <c r="F10" s="89">
        <f>COUNTIFS(Errorlog_table[System],$A$1,Errorlog_table[Year_Week_Number],MTBF_Intel[[#This Row],[Week]],Errorlog_table[U_Hits],"Y",Errorlog_table[Reconciled],"Y")</f>
        <v>0</v>
      </c>
      <c r="G10" s="95">
        <f>IF(MTBF_Intel[[#This Row],[P hits]]=0,MTBF_Intel[[#This Row],[Productive time '[hrs']]],MTBF_Intel[[#This Row],[Productive time '[hrs']]]/MTBF_Intel[[#This Row],[P hits]])</f>
        <v>0</v>
      </c>
      <c r="H10" s="95">
        <f t="shared" si="1"/>
        <v>0</v>
      </c>
      <c r="I10" s="95"/>
      <c r="J10" s="95">
        <f>IF(MTBF_Intel[[#This Row],[U hits]]=0,MTBF_Intel[[#This Row],[Uptime '[hrs']]],MTBF_Intel[[#This Row],[Uptime '[hrs']]]/MTBF_Intel[[#This Row],[U hits]])</f>
        <v>0</v>
      </c>
      <c r="K10" s="95">
        <f t="shared" si="2"/>
        <v>0</v>
      </c>
      <c r="L10" s="95"/>
    </row>
    <row r="11" spans="1:12">
      <c r="A11" s="89">
        <v>2435</v>
      </c>
      <c r="B11" s="89" t="str">
        <f t="shared" si="0"/>
        <v>wk2435</v>
      </c>
      <c r="C11" s="93">
        <f>SUMIFS(Runhours_Table[Productive Hours],Runhours_Table[Year-Week Number],MTBF_Intel[[#This Row],[Week]],Runhours_Table[System],$A$1)</f>
        <v>0</v>
      </c>
      <c r="D11" s="93">
        <f>SUMIFS(Runhours_Table[Up Time],Runhours_Table[Year-Week Number],MTBF_Intel[[#This Row],[Week]],Runhours_Table[System],$A$1)</f>
        <v>0</v>
      </c>
      <c r="E11" s="89">
        <f>COUNTIFS(Errorlog_table[System],$A$1,Errorlog_table[Year_Week_Number],MTBF_Intel[[#This Row],[Week]],Errorlog_table[P_Hits],"Y",Errorlog_table[Reconciled],"Y")</f>
        <v>0</v>
      </c>
      <c r="F11" s="89">
        <f>COUNTIFS(Errorlog_table[System],$A$1,Errorlog_table[Year_Week_Number],MTBF_Intel[[#This Row],[Week]],Errorlog_table[U_Hits],"Y",Errorlog_table[Reconciled],"Y")</f>
        <v>0</v>
      </c>
      <c r="G11" s="95">
        <f>IF(MTBF_Intel[[#This Row],[P hits]]=0,MTBF_Intel[[#This Row],[Productive time '[hrs']]],MTBF_Intel[[#This Row],[Productive time '[hrs']]]/MTBF_Intel[[#This Row],[P hits]])</f>
        <v>0</v>
      </c>
      <c r="H11" s="95">
        <f t="shared" si="1"/>
        <v>0</v>
      </c>
      <c r="I11" s="95"/>
      <c r="J11" s="95">
        <f>IF(MTBF_Intel[[#This Row],[U hits]]=0,MTBF_Intel[[#This Row],[Uptime '[hrs']]],MTBF_Intel[[#This Row],[Uptime '[hrs']]]/MTBF_Intel[[#This Row],[U hits]])</f>
        <v>0</v>
      </c>
      <c r="K11" s="95">
        <f t="shared" si="2"/>
        <v>0</v>
      </c>
      <c r="L11" s="95"/>
    </row>
    <row r="12" spans="1:12">
      <c r="A12" s="89">
        <v>2436</v>
      </c>
      <c r="B12" s="89" t="str">
        <f t="shared" si="0"/>
        <v>wk2436</v>
      </c>
      <c r="C12" s="93">
        <f>SUMIFS(Runhours_Table[Productive Hours],Runhours_Table[Year-Week Number],MTBF_Intel[[#This Row],[Week]],Runhours_Table[System],$A$1)</f>
        <v>0</v>
      </c>
      <c r="D12" s="93">
        <f>SUMIFS(Runhours_Table[Up Time],Runhours_Table[Year-Week Number],MTBF_Intel[[#This Row],[Week]],Runhours_Table[System],$A$1)</f>
        <v>0</v>
      </c>
      <c r="E12" s="89">
        <f>COUNTIFS(Errorlog_table[System],$A$1,Errorlog_table[Year_Week_Number],MTBF_Intel[[#This Row],[Week]],Errorlog_table[P_Hits],"Y",Errorlog_table[Reconciled],"Y")</f>
        <v>0</v>
      </c>
      <c r="F12" s="89">
        <f>COUNTIFS(Errorlog_table[System],$A$1,Errorlog_table[Year_Week_Number],MTBF_Intel[[#This Row],[Week]],Errorlog_table[U_Hits],"Y",Errorlog_table[Reconciled],"Y")</f>
        <v>0</v>
      </c>
      <c r="G12" s="95">
        <f>IF(MTBF_Intel[[#This Row],[P hits]]=0,MTBF_Intel[[#This Row],[Productive time '[hrs']]],MTBF_Intel[[#This Row],[Productive time '[hrs']]]/MTBF_Intel[[#This Row],[P hits]])</f>
        <v>0</v>
      </c>
      <c r="H12" s="95">
        <f t="shared" si="1"/>
        <v>0</v>
      </c>
      <c r="I12" s="95"/>
      <c r="J12" s="95">
        <f>IF(MTBF_Intel[[#This Row],[U hits]]=0,MTBF_Intel[[#This Row],[Uptime '[hrs']]],MTBF_Intel[[#This Row],[Uptime '[hrs']]]/MTBF_Intel[[#This Row],[U hits]])</f>
        <v>0</v>
      </c>
      <c r="K12" s="95">
        <f t="shared" si="2"/>
        <v>0</v>
      </c>
      <c r="L12" s="95"/>
    </row>
    <row r="13" spans="1:12">
      <c r="A13" s="89">
        <v>2437</v>
      </c>
      <c r="B13" s="89" t="str">
        <f t="shared" si="0"/>
        <v>wk2437</v>
      </c>
      <c r="C13" s="93">
        <f>SUMIFS(Runhours_Table[Productive Hours],Runhours_Table[Year-Week Number],MTBF_Intel[[#This Row],[Week]],Runhours_Table[System],$A$1)</f>
        <v>0</v>
      </c>
      <c r="D13" s="93">
        <f>SUMIFS(Runhours_Table[Up Time],Runhours_Table[Year-Week Number],MTBF_Intel[[#This Row],[Week]],Runhours_Table[System],$A$1)</f>
        <v>0</v>
      </c>
      <c r="E13" s="89">
        <f>COUNTIFS(Errorlog_table[System],$A$1,Errorlog_table[Year_Week_Number],MTBF_Intel[[#This Row],[Week]],Errorlog_table[P_Hits],"Y",Errorlog_table[Reconciled],"Y")</f>
        <v>0</v>
      </c>
      <c r="F13" s="89">
        <f>COUNTIFS(Errorlog_table[System],$A$1,Errorlog_table[Year_Week_Number],MTBF_Intel[[#This Row],[Week]],Errorlog_table[U_Hits],"Y",Errorlog_table[Reconciled],"Y")</f>
        <v>0</v>
      </c>
      <c r="G13" s="95">
        <f>IF(MTBF_Intel[[#This Row],[P hits]]=0,MTBF_Intel[[#This Row],[Productive time '[hrs']]],MTBF_Intel[[#This Row],[Productive time '[hrs']]]/MTBF_Intel[[#This Row],[P hits]])</f>
        <v>0</v>
      </c>
      <c r="H13" s="95">
        <f t="shared" si="1"/>
        <v>0</v>
      </c>
      <c r="I13" s="95"/>
      <c r="J13" s="95">
        <f>IF(MTBF_Intel[[#This Row],[U hits]]=0,MTBF_Intel[[#This Row],[Uptime '[hrs']]],MTBF_Intel[[#This Row],[Uptime '[hrs']]]/MTBF_Intel[[#This Row],[U hits]])</f>
        <v>0</v>
      </c>
      <c r="K13" s="95">
        <f t="shared" si="2"/>
        <v>0</v>
      </c>
      <c r="L13" s="95"/>
    </row>
    <row r="14" spans="1:12">
      <c r="A14" s="89">
        <v>2438</v>
      </c>
      <c r="B14" s="89" t="str">
        <f t="shared" si="0"/>
        <v>wk2438</v>
      </c>
      <c r="C14" s="93">
        <f>SUMIFS(Runhours_Table[Productive Hours],Runhours_Table[Year-Week Number],MTBF_Intel[[#This Row],[Week]],Runhours_Table[System],$A$1)</f>
        <v>0</v>
      </c>
      <c r="D14" s="93">
        <f>SUMIFS(Runhours_Table[Up Time],Runhours_Table[Year-Week Number],MTBF_Intel[[#This Row],[Week]],Runhours_Table[System],$A$1)</f>
        <v>0</v>
      </c>
      <c r="E14" s="89">
        <f>COUNTIFS(Errorlog_table[System],$A$1,Errorlog_table[Year_Week_Number],MTBF_Intel[[#This Row],[Week]],Errorlog_table[P_Hits],"Y",Errorlog_table[Reconciled],"Y")</f>
        <v>0</v>
      </c>
      <c r="F14" s="89">
        <f>COUNTIFS(Errorlog_table[System],$A$1,Errorlog_table[Year_Week_Number],MTBF_Intel[[#This Row],[Week]],Errorlog_table[U_Hits],"Y",Errorlog_table[Reconciled],"Y")</f>
        <v>0</v>
      </c>
      <c r="G14" s="95">
        <f>IF(MTBF_Intel[[#This Row],[P hits]]=0,MTBF_Intel[[#This Row],[Productive time '[hrs']]],MTBF_Intel[[#This Row],[Productive time '[hrs']]]/MTBF_Intel[[#This Row],[P hits]])</f>
        <v>0</v>
      </c>
      <c r="H14" s="95">
        <f t="shared" si="1"/>
        <v>0</v>
      </c>
      <c r="I14" s="95"/>
      <c r="J14" s="95">
        <f>IF(MTBF_Intel[[#This Row],[U hits]]=0,MTBF_Intel[[#This Row],[Uptime '[hrs']]],MTBF_Intel[[#This Row],[Uptime '[hrs']]]/MTBF_Intel[[#This Row],[U hits]])</f>
        <v>0</v>
      </c>
      <c r="K14" s="95">
        <f t="shared" si="2"/>
        <v>0</v>
      </c>
      <c r="L14" s="95"/>
    </row>
    <row r="15" spans="1:12">
      <c r="A15" s="89">
        <v>2439</v>
      </c>
      <c r="B15" s="89" t="str">
        <f t="shared" si="0"/>
        <v>wk2439</v>
      </c>
      <c r="C15" s="93">
        <f>SUMIFS(Runhours_Table[Productive Hours],Runhours_Table[Year-Week Number],MTBF_Intel[[#This Row],[Week]],Runhours_Table[System],$A$1)</f>
        <v>0</v>
      </c>
      <c r="D15" s="93">
        <f>SUMIFS(Runhours_Table[Up Time],Runhours_Table[Year-Week Number],MTBF_Intel[[#This Row],[Week]],Runhours_Table[System],$A$1)</f>
        <v>0</v>
      </c>
      <c r="E15" s="89">
        <f>COUNTIFS(Errorlog_table[System],$A$1,Errorlog_table[Year_Week_Number],MTBF_Intel[[#This Row],[Week]],Errorlog_table[P_Hits],"Y",Errorlog_table[Reconciled],"Y")</f>
        <v>0</v>
      </c>
      <c r="F15" s="89">
        <f>COUNTIFS(Errorlog_table[System],$A$1,Errorlog_table[Year_Week_Number],MTBF_Intel[[#This Row],[Week]],Errorlog_table[U_Hits],"Y",Errorlog_table[Reconciled],"Y")</f>
        <v>0</v>
      </c>
      <c r="G15" s="95">
        <f>IF(MTBF_Intel[[#This Row],[P hits]]=0,MTBF_Intel[[#This Row],[Productive time '[hrs']]],MTBF_Intel[[#This Row],[Productive time '[hrs']]]/MTBF_Intel[[#This Row],[P hits]])</f>
        <v>0</v>
      </c>
      <c r="H15" s="95">
        <f t="shared" si="1"/>
        <v>0</v>
      </c>
      <c r="I15" s="95"/>
      <c r="J15" s="95">
        <f>IF(MTBF_Intel[[#This Row],[U hits]]=0,MTBF_Intel[[#This Row],[Uptime '[hrs']]],MTBF_Intel[[#This Row],[Uptime '[hrs']]]/MTBF_Intel[[#This Row],[U hits]])</f>
        <v>0</v>
      </c>
      <c r="K15" s="95">
        <f t="shared" si="2"/>
        <v>0</v>
      </c>
      <c r="L15" s="95"/>
    </row>
    <row r="16" spans="1:12">
      <c r="A16" s="89">
        <v>2440</v>
      </c>
      <c r="B16" s="89" t="str">
        <f t="shared" si="0"/>
        <v>wk2440</v>
      </c>
      <c r="C16" s="93">
        <f>SUMIFS(Runhours_Table[Productive Hours],Runhours_Table[Year-Week Number],MTBF_Intel[[#This Row],[Week]],Runhours_Table[System],$A$1)</f>
        <v>0</v>
      </c>
      <c r="D16" s="93">
        <f>SUMIFS(Runhours_Table[Up Time],Runhours_Table[Year-Week Number],MTBF_Intel[[#This Row],[Week]],Runhours_Table[System],$A$1)</f>
        <v>0</v>
      </c>
      <c r="E16" s="89">
        <f>COUNTIFS(Errorlog_table[System],$A$1,Errorlog_table[Year_Week_Number],MTBF_Intel[[#This Row],[Week]],Errorlog_table[P_Hits],"Y",Errorlog_table[Reconciled],"Y")</f>
        <v>0</v>
      </c>
      <c r="F16" s="89">
        <f>COUNTIFS(Errorlog_table[System],$A$1,Errorlog_table[Year_Week_Number],MTBF_Intel[[#This Row],[Week]],Errorlog_table[U_Hits],"Y",Errorlog_table[Reconciled],"Y")</f>
        <v>0</v>
      </c>
      <c r="G16" s="95">
        <f>IF(MTBF_Intel[[#This Row],[P hits]]=0,MTBF_Intel[[#This Row],[Productive time '[hrs']]],MTBF_Intel[[#This Row],[Productive time '[hrs']]]/MTBF_Intel[[#This Row],[P hits]])</f>
        <v>0</v>
      </c>
      <c r="H16" s="95">
        <f t="shared" si="1"/>
        <v>0</v>
      </c>
      <c r="I16" s="95"/>
      <c r="J16" s="95">
        <f>IF(MTBF_Intel[[#This Row],[U hits]]=0,MTBF_Intel[[#This Row],[Uptime '[hrs']]],MTBF_Intel[[#This Row],[Uptime '[hrs']]]/MTBF_Intel[[#This Row],[U hits]])</f>
        <v>0</v>
      </c>
      <c r="K16" s="95">
        <f t="shared" si="2"/>
        <v>0</v>
      </c>
      <c r="L16" s="95"/>
    </row>
    <row r="17" spans="1:12">
      <c r="A17" s="89">
        <v>2441</v>
      </c>
      <c r="B17" s="89" t="str">
        <f t="shared" si="0"/>
        <v>wk2441</v>
      </c>
      <c r="C17" s="93">
        <f>SUMIFS(Runhours_Table[Productive Hours],Runhours_Table[Year-Week Number],MTBF_Intel[[#This Row],[Week]],Runhours_Table[System],$A$1)</f>
        <v>0</v>
      </c>
      <c r="D17" s="93">
        <f>SUMIFS(Runhours_Table[Up Time],Runhours_Table[Year-Week Number],MTBF_Intel[[#This Row],[Week]],Runhours_Table[System],$A$1)</f>
        <v>0</v>
      </c>
      <c r="E17" s="89">
        <f>COUNTIFS(Errorlog_table[System],$A$1,Errorlog_table[Year_Week_Number],MTBF_Intel[[#This Row],[Week]],Errorlog_table[P_Hits],"Y",Errorlog_table[Reconciled],"Y")</f>
        <v>0</v>
      </c>
      <c r="F17" s="89">
        <f>COUNTIFS(Errorlog_table[System],$A$1,Errorlog_table[Year_Week_Number],MTBF_Intel[[#This Row],[Week]],Errorlog_table[U_Hits],"Y",Errorlog_table[Reconciled],"Y")</f>
        <v>0</v>
      </c>
      <c r="G17" s="95">
        <f>IF(MTBF_Intel[[#This Row],[P hits]]=0,MTBF_Intel[[#This Row],[Productive time '[hrs']]],MTBF_Intel[[#This Row],[Productive time '[hrs']]]/MTBF_Intel[[#This Row],[P hits]])</f>
        <v>0</v>
      </c>
      <c r="H17" s="95">
        <f t="shared" si="1"/>
        <v>0</v>
      </c>
      <c r="I17" s="95"/>
      <c r="J17" s="95">
        <f>IF(MTBF_Intel[[#This Row],[U hits]]=0,MTBF_Intel[[#This Row],[Uptime '[hrs']]],MTBF_Intel[[#This Row],[Uptime '[hrs']]]/MTBF_Intel[[#This Row],[U hits]])</f>
        <v>0</v>
      </c>
      <c r="K17" s="95">
        <f t="shared" si="2"/>
        <v>0</v>
      </c>
      <c r="L17" s="95"/>
    </row>
    <row r="18" spans="1:12">
      <c r="A18" s="89">
        <v>2442</v>
      </c>
      <c r="B18" s="89" t="str">
        <f t="shared" si="0"/>
        <v>wk2442</v>
      </c>
      <c r="C18" s="93">
        <f>SUMIFS(Runhours_Table[Productive Hours],Runhours_Table[Year-Week Number],MTBF_Intel[[#This Row],[Week]],Runhours_Table[System],$A$1)</f>
        <v>0</v>
      </c>
      <c r="D18" s="93">
        <f>SUMIFS(Runhours_Table[Up Time],Runhours_Table[Year-Week Number],MTBF_Intel[[#This Row],[Week]],Runhours_Table[System],$A$1)</f>
        <v>0</v>
      </c>
      <c r="E18" s="89">
        <f>COUNTIFS(Errorlog_table[System],$A$1,Errorlog_table[Year_Week_Number],MTBF_Intel[[#This Row],[Week]],Errorlog_table[P_Hits],"Y",Errorlog_table[Reconciled],"Y")</f>
        <v>0</v>
      </c>
      <c r="F18" s="89">
        <f>COUNTIFS(Errorlog_table[System],$A$1,Errorlog_table[Year_Week_Number],MTBF_Intel[[#This Row],[Week]],Errorlog_table[U_Hits],"Y",Errorlog_table[Reconciled],"Y")</f>
        <v>0</v>
      </c>
      <c r="G18" s="95">
        <f>IF(MTBF_Intel[[#This Row],[P hits]]=0,MTBF_Intel[[#This Row],[Productive time '[hrs']]],MTBF_Intel[[#This Row],[Productive time '[hrs']]]/MTBF_Intel[[#This Row],[P hits]])</f>
        <v>0</v>
      </c>
      <c r="H18" s="95">
        <f t="shared" si="1"/>
        <v>0</v>
      </c>
      <c r="I18" s="95">
        <f>IF(SUM(E6:E18)=0,SUM(C6:C18),SUM(C6:C18)/SUM(E6:E18))</f>
        <v>0</v>
      </c>
      <c r="J18" s="95">
        <f>IF(MTBF_Intel[[#This Row],[U hits]]=0,MTBF_Intel[[#This Row],[Uptime '[hrs']]],MTBF_Intel[[#This Row],[Uptime '[hrs']]]/MTBF_Intel[[#This Row],[U hits]])</f>
        <v>0</v>
      </c>
      <c r="K18" s="95">
        <f t="shared" si="2"/>
        <v>0</v>
      </c>
      <c r="L18" s="95">
        <f>IF(SUM(F6:F18)=0,SUM(D6:D18),SUM(D6:D18)/SUM(F6:F18))</f>
        <v>0</v>
      </c>
    </row>
    <row r="19" spans="1:12">
      <c r="A19" s="89">
        <v>2443</v>
      </c>
      <c r="B19" s="89" t="str">
        <f t="shared" si="0"/>
        <v>wk2443</v>
      </c>
      <c r="C19" s="93">
        <f>SUMIFS(Runhours_Table[Productive Hours],Runhours_Table[Year-Week Number],MTBF_Intel[[#This Row],[Week]],Runhours_Table[System],$A$1)</f>
        <v>0</v>
      </c>
      <c r="D19" s="93">
        <f>SUMIFS(Runhours_Table[Up Time],Runhours_Table[Year-Week Number],MTBF_Intel[[#This Row],[Week]],Runhours_Table[System],$A$1)</f>
        <v>0</v>
      </c>
      <c r="E19" s="89">
        <f>COUNTIFS(Errorlog_table[System],$A$1,Errorlog_table[Year_Week_Number],MTBF_Intel[[#This Row],[Week]],Errorlog_table[P_Hits],"Y",Errorlog_table[Reconciled],"Y")</f>
        <v>0</v>
      </c>
      <c r="F19" s="89">
        <f>COUNTIFS(Errorlog_table[System],$A$1,Errorlog_table[Year_Week_Number],MTBF_Intel[[#This Row],[Week]],Errorlog_table[U_Hits],"Y",Errorlog_table[Reconciled],"Y")</f>
        <v>0</v>
      </c>
      <c r="G19" s="95">
        <f>IF(MTBF_Intel[[#This Row],[P hits]]=0,MTBF_Intel[[#This Row],[Productive time '[hrs']]],MTBF_Intel[[#This Row],[Productive time '[hrs']]]/MTBF_Intel[[#This Row],[P hits]])</f>
        <v>0</v>
      </c>
      <c r="H19" s="95">
        <f t="shared" si="1"/>
        <v>0</v>
      </c>
      <c r="I19" s="95">
        <f>IF(SUM(E7:E19)=0,SUM(C7:C19),SUM(C7:C19)/SUM(E7:E19))</f>
        <v>0</v>
      </c>
      <c r="J19" s="95">
        <f>IF(MTBF_Intel[[#This Row],[U hits]]=0,MTBF_Intel[[#This Row],[Uptime '[hrs']]],MTBF_Intel[[#This Row],[Uptime '[hrs']]]/MTBF_Intel[[#This Row],[U hits]])</f>
        <v>0</v>
      </c>
      <c r="K19" s="95">
        <f t="shared" si="2"/>
        <v>0</v>
      </c>
      <c r="L19" s="95">
        <f>IF(SUM(F7:F19)=0,SUM(D7:D19),SUM(D7:D19)/SUM(F7:F19))</f>
        <v>0</v>
      </c>
    </row>
    <row r="20" spans="1:12">
      <c r="A20" s="89">
        <v>2444</v>
      </c>
      <c r="B20" s="89" t="str">
        <f t="shared" ref="B20" si="3">"wk"&amp;A20</f>
        <v>wk2444</v>
      </c>
      <c r="C20" s="93">
        <f>SUMIFS(Runhours_Table[Productive Hours],Runhours_Table[Year-Week Number],MTBF_Intel[[#This Row],[Week]],Runhours_Table[System],$A$1)</f>
        <v>0</v>
      </c>
      <c r="D20" s="93">
        <f>SUMIFS(Runhours_Table[Up Time],Runhours_Table[Year-Week Number],MTBF_Intel[[#This Row],[Week]],Runhours_Table[System],$A$1)</f>
        <v>0</v>
      </c>
      <c r="E20" s="89">
        <f>COUNTIFS(Errorlog_table[System],$A$1,Errorlog_table[Year_Week_Number],MTBF_Intel[[#This Row],[Week]],Errorlog_table[P_Hits],"Y",Errorlog_table[Reconciled],"Y")</f>
        <v>0</v>
      </c>
      <c r="F20" s="89">
        <f>COUNTIFS(Errorlog_table[System],$A$1,Errorlog_table[Year_Week_Number],MTBF_Intel[[#This Row],[Week]],Errorlog_table[U_Hits],"Y",Errorlog_table[Reconciled],"Y")</f>
        <v>0</v>
      </c>
      <c r="G20" s="95">
        <f>IF(MTBF_Intel[[#This Row],[P hits]]=0,MTBF_Intel[[#This Row],[Productive time '[hrs']]],MTBF_Intel[[#This Row],[Productive time '[hrs']]]/MTBF_Intel[[#This Row],[P hits]])</f>
        <v>0</v>
      </c>
      <c r="H20" s="95">
        <f t="shared" si="1"/>
        <v>0</v>
      </c>
      <c r="I20" s="95">
        <f t="shared" ref="I20:I26" si="4">IF(SUM(E8:E20)=0,SUM(C8:C20),SUM(C8:C20)/SUM(E8:E20))</f>
        <v>0</v>
      </c>
      <c r="J20" s="95">
        <f>IF(MTBF_Intel[[#This Row],[U hits]]=0,MTBF_Intel[[#This Row],[Uptime '[hrs']]],MTBF_Intel[[#This Row],[Uptime '[hrs']]]/MTBF_Intel[[#This Row],[U hits]])</f>
        <v>0</v>
      </c>
      <c r="K20" s="95">
        <f t="shared" si="2"/>
        <v>0</v>
      </c>
      <c r="L20" s="95">
        <f t="shared" ref="L20:L25" si="5">IF(SUM(F8:F20)=0,SUM(D8:D20),SUM(D8:D20)/SUM(F8:F20))</f>
        <v>0</v>
      </c>
    </row>
    <row r="21" spans="1:12">
      <c r="A21" s="89">
        <v>2445</v>
      </c>
      <c r="B21" s="89" t="str">
        <f t="shared" ref="B21:B29" si="6">"wk"&amp;A21</f>
        <v>wk2445</v>
      </c>
      <c r="C21" s="93">
        <f>SUMIFS(Runhours_Table[Productive Hours],Runhours_Table[Year-Week Number],MTBF_Intel[[#This Row],[Week]],Runhours_Table[System],$A$1)</f>
        <v>0</v>
      </c>
      <c r="D21" s="93">
        <f>SUMIFS(Runhours_Table[Up Time],Runhours_Table[Year-Week Number],MTBF_Intel[[#This Row],[Week]],Runhours_Table[System],$A$1)</f>
        <v>0</v>
      </c>
      <c r="E21" s="89">
        <f>COUNTIFS(Errorlog_table[System],$A$1,Errorlog_table[Year_Week_Number],MTBF_Intel[[#This Row],[Week]],Errorlog_table[P_Hits],"Y",Errorlog_table[Reconciled],"Y")</f>
        <v>0</v>
      </c>
      <c r="F21" s="89">
        <f>COUNTIFS(Errorlog_table[System],$A$1,Errorlog_table[Year_Week_Number],MTBF_Intel[[#This Row],[Week]],Errorlog_table[U_Hits],"Y",Errorlog_table[Reconciled],"Y")</f>
        <v>0</v>
      </c>
      <c r="G21" s="95">
        <f>IF(MTBF_Intel[[#This Row],[P hits]]=0,MTBF_Intel[[#This Row],[Productive time '[hrs']]],MTBF_Intel[[#This Row],[Productive time '[hrs']]]/MTBF_Intel[[#This Row],[P hits]])</f>
        <v>0</v>
      </c>
      <c r="H21" s="95">
        <f t="shared" si="1"/>
        <v>0</v>
      </c>
      <c r="I21" s="95">
        <f t="shared" si="4"/>
        <v>0</v>
      </c>
      <c r="J21" s="95">
        <f>IF(MTBF_Intel[[#This Row],[U hits]]=0,MTBF_Intel[[#This Row],[Uptime '[hrs']]],MTBF_Intel[[#This Row],[Uptime '[hrs']]]/MTBF_Intel[[#This Row],[U hits]])</f>
        <v>0</v>
      </c>
      <c r="K21" s="95">
        <f t="shared" si="2"/>
        <v>0</v>
      </c>
      <c r="L21" s="95">
        <f t="shared" si="5"/>
        <v>0</v>
      </c>
    </row>
    <row r="22" spans="1:12">
      <c r="A22" s="89">
        <v>2446</v>
      </c>
      <c r="B22" s="89" t="str">
        <f t="shared" si="6"/>
        <v>wk2446</v>
      </c>
      <c r="C22" s="93">
        <f>SUMIFS(Runhours_Table[Productive Hours],Runhours_Table[Year-Week Number],MTBF_Intel[[#This Row],[Week]],Runhours_Table[System],$A$1)</f>
        <v>0</v>
      </c>
      <c r="D22" s="93">
        <f>SUMIFS(Runhours_Table[Up Time],Runhours_Table[Year-Week Number],MTBF_Intel[[#This Row],[Week]],Runhours_Table[System],$A$1)</f>
        <v>0</v>
      </c>
      <c r="E22" s="89">
        <f>COUNTIFS(Errorlog_table[System],$A$1,Errorlog_table[Year_Week_Number],MTBF_Intel[[#This Row],[Week]],Errorlog_table[P_Hits],"Y",Errorlog_table[Reconciled],"Y")</f>
        <v>0</v>
      </c>
      <c r="F22" s="89">
        <f>COUNTIFS(Errorlog_table[System],$A$1,Errorlog_table[Year_Week_Number],MTBF_Intel[[#This Row],[Week]],Errorlog_table[U_Hits],"Y",Errorlog_table[Reconciled],"Y")</f>
        <v>0</v>
      </c>
      <c r="G22" s="95">
        <f>IF(MTBF_Intel[[#This Row],[P hits]]=0,MTBF_Intel[[#This Row],[Productive time '[hrs']]],MTBF_Intel[[#This Row],[Productive time '[hrs']]]/MTBF_Intel[[#This Row],[P hits]])</f>
        <v>0</v>
      </c>
      <c r="H22" s="95">
        <f t="shared" si="1"/>
        <v>0</v>
      </c>
      <c r="I22" s="95">
        <f t="shared" si="4"/>
        <v>0</v>
      </c>
      <c r="J22" s="95">
        <f>IF(MTBF_Intel[[#This Row],[U hits]]=0,MTBF_Intel[[#This Row],[Uptime '[hrs']]],MTBF_Intel[[#This Row],[Uptime '[hrs']]]/MTBF_Intel[[#This Row],[U hits]])</f>
        <v>0</v>
      </c>
      <c r="K22" s="95">
        <f t="shared" si="2"/>
        <v>0</v>
      </c>
      <c r="L22" s="95">
        <f t="shared" si="5"/>
        <v>0</v>
      </c>
    </row>
    <row r="23" spans="1:12">
      <c r="A23" s="89">
        <v>2447</v>
      </c>
      <c r="B23" s="89" t="str">
        <f t="shared" si="6"/>
        <v>wk2447</v>
      </c>
      <c r="C23" s="93">
        <f>SUMIFS(Runhours_Table[Productive Hours],Runhours_Table[Year-Week Number],MTBF_Intel[[#This Row],[Week]],Runhours_Table[System],$A$1)</f>
        <v>0</v>
      </c>
      <c r="D23" s="93">
        <f>SUMIFS(Runhours_Table[Up Time],Runhours_Table[Year-Week Number],MTBF_Intel[[#This Row],[Week]],Runhours_Table[System],$A$1)</f>
        <v>0</v>
      </c>
      <c r="E23" s="89">
        <f>COUNTIFS(Errorlog_table[System],$A$1,Errorlog_table[Year_Week_Number],MTBF_Intel[[#This Row],[Week]],Errorlog_table[P_Hits],"Y",Errorlog_table[Reconciled],"Y")</f>
        <v>0</v>
      </c>
      <c r="F23" s="89">
        <f>COUNTIFS(Errorlog_table[System],$A$1,Errorlog_table[Year_Week_Number],MTBF_Intel[[#This Row],[Week]],Errorlog_table[U_Hits],"Y",Errorlog_table[Reconciled],"Y")</f>
        <v>0</v>
      </c>
      <c r="G23" s="95">
        <f>IF(MTBF_Intel[[#This Row],[P hits]]=0,MTBF_Intel[[#This Row],[Productive time '[hrs']]],MTBF_Intel[[#This Row],[Productive time '[hrs']]]/MTBF_Intel[[#This Row],[P hits]])</f>
        <v>0</v>
      </c>
      <c r="H23" s="95">
        <f t="shared" si="1"/>
        <v>0</v>
      </c>
      <c r="I23" s="95">
        <f t="shared" si="4"/>
        <v>0</v>
      </c>
      <c r="J23" s="95">
        <f>IF(MTBF_Intel[[#This Row],[U hits]]=0,MTBF_Intel[[#This Row],[Uptime '[hrs']]],MTBF_Intel[[#This Row],[Uptime '[hrs']]]/MTBF_Intel[[#This Row],[U hits]])</f>
        <v>0</v>
      </c>
      <c r="K23" s="95">
        <f t="shared" si="2"/>
        <v>0</v>
      </c>
      <c r="L23" s="95">
        <f t="shared" si="5"/>
        <v>0</v>
      </c>
    </row>
    <row r="24" spans="1:12">
      <c r="A24" s="89">
        <v>2448</v>
      </c>
      <c r="B24" s="89" t="str">
        <f t="shared" si="6"/>
        <v>wk2448</v>
      </c>
      <c r="C24" s="93">
        <f>SUMIFS(Runhours_Table[Productive Hours],Runhours_Table[Year-Week Number],MTBF_Intel[[#This Row],[Week]],Runhours_Table[System],$A$1)</f>
        <v>0</v>
      </c>
      <c r="D24" s="93">
        <f>SUMIFS(Runhours_Table[Up Time],Runhours_Table[Year-Week Number],MTBF_Intel[[#This Row],[Week]],Runhours_Table[System],$A$1)</f>
        <v>0</v>
      </c>
      <c r="E24" s="89">
        <f>COUNTIFS(Errorlog_table[System],$A$1,Errorlog_table[Year_Week_Number],MTBF_Intel[[#This Row],[Week]],Errorlog_table[P_Hits],"Y",Errorlog_table[Reconciled],"Y")</f>
        <v>0</v>
      </c>
      <c r="F24" s="89">
        <f>COUNTIFS(Errorlog_table[System],$A$1,Errorlog_table[Year_Week_Number],MTBF_Intel[[#This Row],[Week]],Errorlog_table[U_Hits],"Y",Errorlog_table[Reconciled],"Y")</f>
        <v>0</v>
      </c>
      <c r="G24" s="95">
        <f>IF(MTBF_Intel[[#This Row],[P hits]]=0,MTBF_Intel[[#This Row],[Productive time '[hrs']]],MTBF_Intel[[#This Row],[Productive time '[hrs']]]/MTBF_Intel[[#This Row],[P hits]])</f>
        <v>0</v>
      </c>
      <c r="H24" s="95">
        <f t="shared" si="1"/>
        <v>0</v>
      </c>
      <c r="I24" s="95">
        <f t="shared" si="4"/>
        <v>0</v>
      </c>
      <c r="J24" s="95">
        <f>IF(MTBF_Intel[[#This Row],[U hits]]=0,MTBF_Intel[[#This Row],[Uptime '[hrs']]],MTBF_Intel[[#This Row],[Uptime '[hrs']]]/MTBF_Intel[[#This Row],[U hits]])</f>
        <v>0</v>
      </c>
      <c r="K24" s="95">
        <f t="shared" si="2"/>
        <v>0</v>
      </c>
      <c r="L24" s="95">
        <f t="shared" si="5"/>
        <v>0</v>
      </c>
    </row>
    <row r="25" spans="1:12">
      <c r="A25" s="89">
        <v>2449</v>
      </c>
      <c r="B25" s="89" t="str">
        <f t="shared" si="6"/>
        <v>wk2449</v>
      </c>
      <c r="C25" s="93">
        <f>SUMIFS(Runhours_Table[Productive Hours],Runhours_Table[Year-Week Number],MTBF_Intel[[#This Row],[Week]],Runhours_Table[System],$A$1)</f>
        <v>0</v>
      </c>
      <c r="D25" s="93">
        <f>SUMIFS(Runhours_Table[Up Time],Runhours_Table[Year-Week Number],MTBF_Intel[[#This Row],[Week]],Runhours_Table[System],$A$1)</f>
        <v>0</v>
      </c>
      <c r="E25" s="89">
        <f>COUNTIFS(Errorlog_table[System],$A$1,Errorlog_table[Year_Week_Number],MTBF_Intel[[#This Row],[Week]],Errorlog_table[P_Hits],"Y",Errorlog_table[Reconciled],"Y")</f>
        <v>0</v>
      </c>
      <c r="F25" s="89">
        <f>COUNTIFS(Errorlog_table[System],$A$1,Errorlog_table[Year_Week_Number],MTBF_Intel[[#This Row],[Week]],Errorlog_table[U_Hits],"Y",Errorlog_table[Reconciled],"Y")</f>
        <v>0</v>
      </c>
      <c r="G25" s="95">
        <f>IF(MTBF_Intel[[#This Row],[P hits]]=0,MTBF_Intel[[#This Row],[Productive time '[hrs']]],MTBF_Intel[[#This Row],[Productive time '[hrs']]]/MTBF_Intel[[#This Row],[P hits]])</f>
        <v>0</v>
      </c>
      <c r="H25" s="95">
        <f t="shared" si="1"/>
        <v>0</v>
      </c>
      <c r="I25" s="95">
        <f t="shared" si="4"/>
        <v>0</v>
      </c>
      <c r="J25" s="95">
        <f>IF(MTBF_Intel[[#This Row],[U hits]]=0,MTBF_Intel[[#This Row],[Uptime '[hrs']]],MTBF_Intel[[#This Row],[Uptime '[hrs']]]/MTBF_Intel[[#This Row],[U hits]])</f>
        <v>0</v>
      </c>
      <c r="K25" s="95">
        <f t="shared" si="2"/>
        <v>0</v>
      </c>
      <c r="L25" s="95">
        <f t="shared" si="5"/>
        <v>0</v>
      </c>
    </row>
    <row r="26" spans="1:12">
      <c r="A26" s="89">
        <v>2450</v>
      </c>
      <c r="B26" s="89" t="str">
        <f t="shared" si="6"/>
        <v>wk2450</v>
      </c>
      <c r="C26" s="93">
        <f>SUMIFS(Runhours_Table[Productive Hours],Runhours_Table[Year-Week Number],MTBF_Intel[[#This Row],[Week]],Runhours_Table[System],$A$1)</f>
        <v>0</v>
      </c>
      <c r="D26" s="93">
        <f>SUMIFS(Runhours_Table[Up Time],Runhours_Table[Year-Week Number],MTBF_Intel[[#This Row],[Week]],Runhours_Table[System],$A$1)</f>
        <v>0</v>
      </c>
      <c r="E26" s="89">
        <f>COUNTIFS(Errorlog_table[System],$A$1,Errorlog_table[Year_Week_Number],MTBF_Intel[[#This Row],[Week]],Errorlog_table[P_Hits],"Y",Errorlog_table[Reconciled],"Y")</f>
        <v>0</v>
      </c>
      <c r="F26" s="89">
        <f>COUNTIFS(Errorlog_table[System],$A$1,Errorlog_table[Year_Week_Number],MTBF_Intel[[#This Row],[Week]],Errorlog_table[U_Hits],"Y",Errorlog_table[Reconciled],"Y")</f>
        <v>0</v>
      </c>
      <c r="G26" s="93">
        <f>IF(MTBF_Intel[[#This Row],[P hits]]=0,MTBF_Intel[[#This Row],[Productive time '[hrs']]],MTBF_Intel[[#This Row],[Productive time '[hrs']]]/MTBF_Intel[[#This Row],[P hits]])</f>
        <v>0</v>
      </c>
      <c r="H26" s="95">
        <f>IF(SUM(E23:E26)=0,SUM(C23:C26),SUM(C23:C26)/SUM(E23:E26))</f>
        <v>0</v>
      </c>
      <c r="I26" s="95">
        <f t="shared" si="4"/>
        <v>0</v>
      </c>
      <c r="J26" s="95">
        <f>IF(MTBF_Intel[[#This Row],[U hits]]=0,MTBF_Intel[[#This Row],[Uptime '[hrs']]],MTBF_Intel[[#This Row],[Uptime '[hrs']]]/MTBF_Intel[[#This Row],[U hits]])</f>
        <v>0</v>
      </c>
      <c r="K26" s="93">
        <f>IF(SUM(F23:F26)=0,SUM(D23:D26),SUM(D23:D26)/SUM(F23:F26))</f>
        <v>0</v>
      </c>
      <c r="L26" s="95">
        <f>IF(SUM(F14:F26)=0,SUM(D14:D26),SUM(D14:D26)/SUM(F14:F26))</f>
        <v>0</v>
      </c>
    </row>
    <row r="27" spans="1:12">
      <c r="A27" s="89">
        <v>2451</v>
      </c>
      <c r="B27" s="89" t="str">
        <f t="shared" si="6"/>
        <v>wk2451</v>
      </c>
      <c r="C27" s="93">
        <f>SUMIFS(Runhours_Table[Productive Hours],Runhours_Table[Year-Week Number],MTBF_Intel[[#This Row],[Week]],Runhours_Table[System],$A$1)</f>
        <v>0</v>
      </c>
      <c r="D27" s="93">
        <f>SUMIFS(Runhours_Table[Up Time],Runhours_Table[Year-Week Number],MTBF_Intel[[#This Row],[Week]],Runhours_Table[System],$A$1)</f>
        <v>0</v>
      </c>
      <c r="E27" s="89">
        <f>COUNTIFS(Errorlog_table[System],$A$1,Errorlog_table[Year_Week_Number],MTBF_Intel[[#This Row],[Week]],Errorlog_table[P_Hits],"Y",Errorlog_table[Reconciled],"Y")</f>
        <v>0</v>
      </c>
      <c r="F27" s="89">
        <f>COUNTIFS(Errorlog_table[System],$A$1,Errorlog_table[Year_Week_Number],MTBF_Intel[[#This Row],[Week]],Errorlog_table[U_Hits],"Y",Errorlog_table[Reconciled],"Y")</f>
        <v>0</v>
      </c>
      <c r="G27" s="93">
        <f>IF(MTBF_Intel[[#This Row],[P hits]]=0,MTBF_Intel[[#This Row],[Productive time '[hrs']]],MTBF_Intel[[#This Row],[Productive time '[hrs']]]/MTBF_Intel[[#This Row],[P hits]])</f>
        <v>0</v>
      </c>
      <c r="H27" s="95">
        <f>IF(SUM(E24:E27)=0,SUM(C24:C27),SUM(C24:C27)/SUM(E24:E27))</f>
        <v>0</v>
      </c>
      <c r="I27" s="95">
        <f>IF(SUM(E15:E27)=0,SUM(C15:C27),SUM(C15:C27)/SUM(E15:E27))</f>
        <v>0</v>
      </c>
      <c r="J27" s="95">
        <f>IF(MTBF_Intel[[#This Row],[U hits]]=0,MTBF_Intel[[#This Row],[Uptime '[hrs']]],MTBF_Intel[[#This Row],[Uptime '[hrs']]]/MTBF_Intel[[#This Row],[U hits]])</f>
        <v>0</v>
      </c>
      <c r="K27" s="93">
        <f>IF(SUM(F24:F27)=0,SUM(D24:D27),SUM(D24:D27)/SUM(F24:F27))</f>
        <v>0</v>
      </c>
      <c r="L27" s="95">
        <f>IF(SUM(F15:F27)=0,SUM(D15:D27),SUM(D15:D27)/SUM(F15:F27))</f>
        <v>0</v>
      </c>
    </row>
    <row r="28" spans="1:12">
      <c r="A28" s="89">
        <v>2452</v>
      </c>
      <c r="B28" s="89" t="str">
        <f t="shared" si="6"/>
        <v>wk2452</v>
      </c>
      <c r="C28" s="93">
        <f>SUMIFS(Runhours_Table[Productive Hours],Runhours_Table[Year-Week Number],MTBF_Intel[[#This Row],[Week]],Runhours_Table[System],$A$1)</f>
        <v>0</v>
      </c>
      <c r="D28" s="93">
        <f>SUMIFS(Runhours_Table[Up Time],Runhours_Table[Year-Week Number],MTBF_Intel[[#This Row],[Week]],Runhours_Table[System],$A$1)</f>
        <v>0</v>
      </c>
      <c r="E28" s="89">
        <f>COUNTIFS(Errorlog_table[System],$A$1,Errorlog_table[Year_Week_Number],MTBF_Intel[[#This Row],[Week]],Errorlog_table[P_Hits],"Y",Errorlog_table[Reconciled],"Y")</f>
        <v>0</v>
      </c>
      <c r="F28" s="89">
        <f>COUNTIFS(Errorlog_table[System],$A$1,Errorlog_table[Year_Week_Number],MTBF_Intel[[#This Row],[Week]],Errorlog_table[U_Hits],"Y",Errorlog_table[Reconciled],"Y")</f>
        <v>0</v>
      </c>
      <c r="G28" s="93">
        <f>IF(MTBF_Intel[[#This Row],[P hits]]=0,MTBF_Intel[[#This Row],[Productive time '[hrs']]],MTBF_Intel[[#This Row],[Productive time '[hrs']]]/MTBF_Intel[[#This Row],[P hits]])</f>
        <v>0</v>
      </c>
      <c r="H28" s="95">
        <f>IF(SUM(E25:E28)=0,SUM(C25:C28),SUM(C25:C28)/SUM(E25:E28))</f>
        <v>0</v>
      </c>
      <c r="I28" s="95">
        <f>IF(SUM(E16:E28)=0,SUM(C16:C28),SUM(C16:C28)/SUM(E16:E28))</f>
        <v>0</v>
      </c>
      <c r="J28" s="95">
        <f>IF(MTBF_Intel[[#This Row],[U hits]]=0,MTBF_Intel[[#This Row],[Uptime '[hrs']]],MTBF_Intel[[#This Row],[Uptime '[hrs']]]/MTBF_Intel[[#This Row],[U hits]])</f>
        <v>0</v>
      </c>
      <c r="K28" s="93">
        <f>IF(SUM(F25:F28)=0,SUM(D25:D28),SUM(D25:D28)/SUM(F25:F28))</f>
        <v>0</v>
      </c>
      <c r="L28" s="95">
        <f>IF(SUM(F16:F28)=0,SUM(D16:D28),SUM(D16:D28)/SUM(F16:F28))</f>
        <v>0</v>
      </c>
    </row>
    <row r="29" spans="1:12">
      <c r="A29" s="89">
        <v>2501</v>
      </c>
      <c r="B29" s="89" t="str">
        <f t="shared" si="6"/>
        <v>wk2501</v>
      </c>
      <c r="C29" s="93">
        <f>SUMIFS(Runhours_Table[Productive Hours],Runhours_Table[Year-Week Number],MTBF_Intel[[#This Row],[Week]],Runhours_Table[System],$A$1)</f>
        <v>0</v>
      </c>
      <c r="D29" s="93">
        <f>SUMIFS(Runhours_Table[Up Time],Runhours_Table[Year-Week Number],MTBF_Intel[[#This Row],[Week]],Runhours_Table[System],$A$1)</f>
        <v>0</v>
      </c>
      <c r="E29" s="89">
        <f>COUNTIFS(Errorlog_table[System],$A$1,Errorlog_table[Year_Week_Number],MTBF_Intel[[#This Row],[Week]],Errorlog_table[P_Hits],"Y",Errorlog_table[Reconciled],"Y")</f>
        <v>0</v>
      </c>
      <c r="F29" s="89">
        <f>COUNTIFS(Errorlog_table[System],$A$1,Errorlog_table[Year_Week_Number],MTBF_Intel[[#This Row],[Week]],Errorlog_table[U_Hits],"Y",Errorlog_table[Reconciled],"Y")</f>
        <v>0</v>
      </c>
      <c r="G29" s="93">
        <f>IF(MTBF_Intel[[#This Row],[P hits]]=0,MTBF_Intel[[#This Row],[Productive time '[hrs']]],MTBF_Intel[[#This Row],[Productive time '[hrs']]]/MTBF_Intel[[#This Row],[P hits]])</f>
        <v>0</v>
      </c>
      <c r="H29" s="95">
        <f>IF(SUM(E26:E29)=0,SUM(C26:C29),SUM(C26:C29)/SUM(E26:E29))</f>
        <v>0</v>
      </c>
      <c r="I29" s="95">
        <f>IF(SUM(E17:E29)=0,SUM(C17:C29),SUM(C17:C29)/SUM(E17:E29))</f>
        <v>0</v>
      </c>
      <c r="J29" s="95">
        <f>IF(MTBF_Intel[[#This Row],[U hits]]=0,MTBF_Intel[[#This Row],[Uptime '[hrs']]],MTBF_Intel[[#This Row],[Uptime '[hrs']]]/MTBF_Intel[[#This Row],[U hits]])</f>
        <v>0</v>
      </c>
      <c r="K29" s="93">
        <f>IF(SUM(F26:F29)=0,SUM(D26:D29),SUM(D26:D29)/SUM(F26:F29))</f>
        <v>0</v>
      </c>
      <c r="L29" s="95">
        <f>IF(SUM(F17:F29)=0,SUM(D17:D29),SUM(D17:D29)/SUM(F17:F29))</f>
        <v>0</v>
      </c>
    </row>
    <row r="30" spans="1:12">
      <c r="A30" s="89">
        <v>2502</v>
      </c>
      <c r="B30" s="89" t="str">
        <f>"wk"&amp;A30</f>
        <v>wk2502</v>
      </c>
      <c r="C30" s="93">
        <f>SUMIFS(Runhours_Table[Productive Hours],Runhours_Table[Year-Week Number],MTBF_Intel[[#This Row],[Week]],Runhours_Table[System],$A$1)</f>
        <v>0</v>
      </c>
      <c r="D30" s="93">
        <f>SUMIFS(Runhours_Table[Up Time],Runhours_Table[Year-Week Number],MTBF_Intel[[#This Row],[Week]],Runhours_Table[System],$A$1)</f>
        <v>0</v>
      </c>
      <c r="E30" s="89">
        <f>COUNTIFS(Errorlog_table[System],$A$1,Errorlog_table[Year_Week_Number],MTBF_Intel[[#This Row],[Week]],Errorlog_table[P_Hits],"Y",Errorlog_table[Reconciled],"Y")</f>
        <v>0</v>
      </c>
      <c r="F30" s="89">
        <f>COUNTIFS(Errorlog_table[System],$A$1,Errorlog_table[Year_Week_Number],MTBF_Intel[[#This Row],[Week]],Errorlog_table[U_Hits],"Y",Errorlog_table[Reconciled],"Y")</f>
        <v>0</v>
      </c>
      <c r="G30" s="93">
        <f>IF(MTBF_Intel[[#This Row],[P hits]]=0,MTBF_Intel[[#This Row],[Productive time '[hrs']]],MTBF_Intel[[#This Row],[Productive time '[hrs']]]/MTBF_Intel[[#This Row],[P hits]])</f>
        <v>0</v>
      </c>
      <c r="H30" s="95">
        <f>IF(SUM(E27:E30)=0,SUM(C27:C30),SUM(C27:C30)/SUM(E27:E30))</f>
        <v>0</v>
      </c>
      <c r="I30" s="95">
        <f>IF(SUM(E18:E30)=0,SUM(C18:C30),SUM(C18:C30)/SUM(E18:E30))</f>
        <v>0</v>
      </c>
      <c r="J30" s="95">
        <f>IF(MTBF_Intel[[#This Row],[U hits]]=0,MTBF_Intel[[#This Row],[Uptime '[hrs']]],MTBF_Intel[[#This Row],[Uptime '[hrs']]]/MTBF_Intel[[#This Row],[U hits]])</f>
        <v>0</v>
      </c>
      <c r="K30" s="93">
        <f>IF(SUM(F27:F30)=0,SUM(D27:D30),SUM(D27:D30)/SUM(F27:F30))</f>
        <v>0</v>
      </c>
      <c r="L30" s="95">
        <f>IF(SUM(F18:F30)=0,SUM(D18:D30),SUM(D18:D30)/SUM(F18:F30))</f>
        <v>0</v>
      </c>
    </row>
  </sheetData>
  <phoneticPr fontId="2" type="noConversion"/>
  <dataValidations count="1">
    <dataValidation type="list" allowBlank="1" showInputMessage="1" showErrorMessage="1" sqref="B2" xr:uid="{F3473EDA-21A6-4998-AE05-D7C1AB2F7424}">
      <formula1>INDIRECT("MTBF_Intel[Week]")</formula1>
    </dataValidation>
  </dataValidations>
  <pageMargins left="0.7" right="0.7" top="0.75" bottom="0.75" header="0.3" footer="0.3"/>
  <drawing r:id="rId1"/>
  <tableParts count="1">
    <tablePart r:id="rId2"/>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6A7C7-5E22-4F86-969D-CB36CF7406B2}">
  <sheetPr codeName="Sheet13">
    <tabColor rgb="FFFFC000"/>
  </sheetPr>
  <dimension ref="A1:AE35"/>
  <sheetViews>
    <sheetView workbookViewId="0"/>
  </sheetViews>
  <sheetFormatPr defaultRowHeight="15"/>
  <cols>
    <col min="1" max="1" width="15.5703125" bestFit="1" customWidth="1"/>
    <col min="2" max="2" width="11.5703125" bestFit="1" customWidth="1"/>
    <col min="3" max="3" width="19" bestFit="1" customWidth="1"/>
    <col min="4" max="4" width="26.42578125" customWidth="1"/>
    <col min="5" max="5" width="24.5703125" customWidth="1"/>
    <col min="6" max="6" width="13.42578125" bestFit="1" customWidth="1"/>
    <col min="7" max="7" width="17.42578125" bestFit="1" customWidth="1"/>
    <col min="11" max="11" width="14.5703125" bestFit="1" customWidth="1"/>
    <col min="13" max="31" width="12.5703125" customWidth="1"/>
  </cols>
  <sheetData>
    <row r="1" spans="1:12">
      <c r="A1" s="8" t="s">
        <v>141</v>
      </c>
      <c r="B1" s="8" t="s">
        <v>1151</v>
      </c>
    </row>
    <row r="2" spans="1:12">
      <c r="A2" s="8" t="s">
        <v>1152</v>
      </c>
      <c r="B2" s="8" t="s">
        <v>1153</v>
      </c>
    </row>
    <row r="3" spans="1:12">
      <c r="A3" s="8" t="s">
        <v>74</v>
      </c>
      <c r="B3" s="3">
        <v>162.38</v>
      </c>
    </row>
    <row r="4" spans="1:12">
      <c r="A4" s="8" t="s">
        <v>1154</v>
      </c>
      <c r="B4" s="3">
        <v>55.48</v>
      </c>
    </row>
    <row r="5" spans="1:12">
      <c r="A5" s="8" t="s">
        <v>1155</v>
      </c>
      <c r="B5" s="3">
        <v>17</v>
      </c>
    </row>
    <row r="7" spans="1:12" ht="33" customHeight="1">
      <c r="A7" s="18" t="s">
        <v>149</v>
      </c>
      <c r="B7" s="18" t="s">
        <v>145</v>
      </c>
      <c r="C7" s="19" t="s">
        <v>152</v>
      </c>
      <c r="D7" s="20" t="s">
        <v>1156</v>
      </c>
      <c r="E7" s="21" t="s">
        <v>154</v>
      </c>
      <c r="F7" s="21" t="s">
        <v>1157</v>
      </c>
      <c r="G7" s="20" t="s">
        <v>220</v>
      </c>
      <c r="K7" s="26" t="s">
        <v>191</v>
      </c>
      <c r="L7" s="22">
        <f>D8</f>
        <v>9.551764705882352</v>
      </c>
    </row>
    <row r="8" spans="1:12">
      <c r="A8" s="1" t="s">
        <v>191</v>
      </c>
      <c r="B8" s="1">
        <f>B5</f>
        <v>17</v>
      </c>
      <c r="C8" s="3">
        <f>B8</f>
        <v>17</v>
      </c>
      <c r="D8" s="13">
        <f>$B$3/C8</f>
        <v>9.551764705882352</v>
      </c>
      <c r="E8" s="16"/>
      <c r="F8" s="17"/>
      <c r="G8" s="2"/>
      <c r="K8" s="25" t="s">
        <v>159</v>
      </c>
      <c r="L8" s="28">
        <f>E9</f>
        <v>1.273568627450981</v>
      </c>
    </row>
    <row r="9" spans="1:12">
      <c r="A9" s="3" t="s">
        <v>159</v>
      </c>
      <c r="B9" s="3">
        <v>2</v>
      </c>
      <c r="C9" s="3">
        <f t="shared" ref="C9:C22" si="0">C8-B9</f>
        <v>15</v>
      </c>
      <c r="D9" s="13">
        <f>$B$3/C9</f>
        <v>10.825333333333333</v>
      </c>
      <c r="E9" s="23">
        <f>D9-D8</f>
        <v>1.273568627450981</v>
      </c>
      <c r="F9" s="10"/>
      <c r="G9" s="2" t="s">
        <v>988</v>
      </c>
      <c r="K9" s="25" t="s">
        <v>160</v>
      </c>
      <c r="L9" s="28">
        <f>E10</f>
        <v>0.77323809523809572</v>
      </c>
    </row>
    <row r="10" spans="1:12">
      <c r="A10" s="3" t="s">
        <v>160</v>
      </c>
      <c r="B10" s="3">
        <v>1</v>
      </c>
      <c r="C10" s="3">
        <f t="shared" si="0"/>
        <v>14</v>
      </c>
      <c r="D10" s="13">
        <f>$B$3/C10</f>
        <v>11.598571428571429</v>
      </c>
      <c r="E10" s="23">
        <f t="shared" ref="E10:E14" si="1">D10-D9</f>
        <v>0.77323809523809572</v>
      </c>
      <c r="F10" s="10"/>
      <c r="G10" s="2" t="s">
        <v>988</v>
      </c>
      <c r="K10" s="26" t="s">
        <v>192</v>
      </c>
      <c r="L10" s="22">
        <f>SUM(L7:L8)</f>
        <v>10.825333333333333</v>
      </c>
    </row>
    <row r="11" spans="1:12">
      <c r="A11" s="3" t="s">
        <v>1158</v>
      </c>
      <c r="B11" s="3">
        <v>1</v>
      </c>
      <c r="C11" s="3">
        <f t="shared" si="0"/>
        <v>13</v>
      </c>
      <c r="D11" s="13">
        <f>$B$3/C11</f>
        <v>12.49076923076923</v>
      </c>
      <c r="E11" s="23">
        <f t="shared" si="1"/>
        <v>0.89219780219780098</v>
      </c>
      <c r="F11" s="10">
        <v>2434</v>
      </c>
      <c r="G11" s="2" t="s">
        <v>194</v>
      </c>
      <c r="K11" s="29" t="s">
        <v>1158</v>
      </c>
      <c r="L11" s="30">
        <v>0.89219780219780098</v>
      </c>
    </row>
    <row r="12" spans="1:12">
      <c r="A12" s="3" t="s">
        <v>164</v>
      </c>
      <c r="B12" s="3">
        <v>1</v>
      </c>
      <c r="C12" s="3">
        <f t="shared" si="0"/>
        <v>12</v>
      </c>
      <c r="D12" s="13">
        <f t="shared" ref="D12:D20" si="2">$B$3/C12</f>
        <v>13.531666666666666</v>
      </c>
      <c r="E12" s="23">
        <f t="shared" si="1"/>
        <v>1.0408974358974366</v>
      </c>
      <c r="F12" s="10">
        <v>2437</v>
      </c>
      <c r="G12" s="2" t="s">
        <v>194</v>
      </c>
      <c r="K12" s="29" t="s">
        <v>164</v>
      </c>
      <c r="L12" s="30">
        <v>1.0408974358974366</v>
      </c>
    </row>
    <row r="13" spans="1:12">
      <c r="A13" s="3" t="s">
        <v>166</v>
      </c>
      <c r="B13" s="3">
        <v>2</v>
      </c>
      <c r="C13" s="3">
        <f t="shared" si="0"/>
        <v>10</v>
      </c>
      <c r="D13" s="13">
        <f t="shared" si="2"/>
        <v>16.238</v>
      </c>
      <c r="E13" s="23">
        <f t="shared" si="1"/>
        <v>2.7063333333333333</v>
      </c>
      <c r="F13" s="10">
        <v>2440</v>
      </c>
      <c r="G13" s="2" t="s">
        <v>194</v>
      </c>
      <c r="K13" s="29" t="s">
        <v>166</v>
      </c>
      <c r="L13" s="30">
        <v>2.7063333333333333</v>
      </c>
    </row>
    <row r="14" spans="1:12">
      <c r="A14" s="3" t="s">
        <v>1159</v>
      </c>
      <c r="B14" s="3">
        <v>1</v>
      </c>
      <c r="C14" s="3">
        <f t="shared" si="0"/>
        <v>9</v>
      </c>
      <c r="D14" s="13">
        <f t="shared" si="2"/>
        <v>18.042222222222222</v>
      </c>
      <c r="E14" s="23">
        <f t="shared" si="1"/>
        <v>1.8042222222222222</v>
      </c>
      <c r="F14" s="10">
        <v>2442</v>
      </c>
      <c r="G14" s="2" t="s">
        <v>194</v>
      </c>
      <c r="K14" s="29" t="s">
        <v>1159</v>
      </c>
      <c r="L14" s="30">
        <v>1.8042222222222222</v>
      </c>
    </row>
    <row r="15" spans="1:12">
      <c r="A15" s="3" t="s">
        <v>1160</v>
      </c>
      <c r="B15" s="3">
        <v>1</v>
      </c>
      <c r="C15" s="3">
        <f t="shared" si="0"/>
        <v>8</v>
      </c>
      <c r="D15" s="13">
        <f t="shared" si="2"/>
        <v>20.297499999999999</v>
      </c>
      <c r="E15" s="23">
        <f>(D16-D14)/2</f>
        <v>2.5774603174603179</v>
      </c>
      <c r="F15" s="10">
        <v>2444</v>
      </c>
      <c r="G15" s="2" t="s">
        <v>194</v>
      </c>
      <c r="K15" s="29" t="s">
        <v>1160</v>
      </c>
      <c r="L15" s="30">
        <v>2.5774603174603179</v>
      </c>
    </row>
    <row r="16" spans="1:12">
      <c r="A16" s="3" t="s">
        <v>163</v>
      </c>
      <c r="B16" s="3">
        <v>1</v>
      </c>
      <c r="C16" s="3">
        <f t="shared" si="0"/>
        <v>7</v>
      </c>
      <c r="D16" s="13">
        <f t="shared" si="2"/>
        <v>23.197142857142858</v>
      </c>
      <c r="E16" s="23">
        <f>(D16-D14)/2</f>
        <v>2.5774603174603179</v>
      </c>
      <c r="F16" s="10">
        <v>2444</v>
      </c>
      <c r="G16" s="2" t="s">
        <v>194</v>
      </c>
      <c r="K16" s="29" t="s">
        <v>163</v>
      </c>
      <c r="L16" s="30">
        <v>2.5774603174603179</v>
      </c>
    </row>
    <row r="17" spans="1:31">
      <c r="A17" s="3" t="s">
        <v>171</v>
      </c>
      <c r="B17" s="3">
        <v>2</v>
      </c>
      <c r="C17" s="3">
        <f t="shared" si="0"/>
        <v>5</v>
      </c>
      <c r="D17" s="13">
        <f t="shared" si="2"/>
        <v>32.475999999999999</v>
      </c>
      <c r="E17" s="23">
        <f>(D20-D16)*(2/5)</f>
        <v>23.197142857142858</v>
      </c>
      <c r="F17" s="10" t="s">
        <v>1161</v>
      </c>
      <c r="G17" s="2" t="s">
        <v>1162</v>
      </c>
      <c r="K17" s="29" t="s">
        <v>991</v>
      </c>
      <c r="L17" s="31">
        <f>SUM(L10:L16)</f>
        <v>22.423904761904762</v>
      </c>
    </row>
    <row r="18" spans="1:31">
      <c r="A18" s="3" t="s">
        <v>161</v>
      </c>
      <c r="B18" s="3">
        <v>1</v>
      </c>
      <c r="C18" s="3">
        <f t="shared" si="0"/>
        <v>4</v>
      </c>
      <c r="D18" s="13">
        <f t="shared" si="2"/>
        <v>40.594999999999999</v>
      </c>
      <c r="E18" s="23">
        <f>(D20-D16)*(1/5)</f>
        <v>11.598571428571429</v>
      </c>
      <c r="F18" s="10" t="s">
        <v>1161</v>
      </c>
      <c r="G18" s="2" t="s">
        <v>1162</v>
      </c>
      <c r="K18" s="32" t="s">
        <v>171</v>
      </c>
      <c r="L18" s="30">
        <v>23.197142857142858</v>
      </c>
    </row>
    <row r="19" spans="1:31">
      <c r="A19" s="15" t="s">
        <v>1163</v>
      </c>
      <c r="B19" s="3">
        <v>1</v>
      </c>
      <c r="C19" s="3">
        <f t="shared" si="0"/>
        <v>3</v>
      </c>
      <c r="D19" s="13">
        <f t="shared" si="2"/>
        <v>54.126666666666665</v>
      </c>
      <c r="E19" s="23">
        <f>(D20-D16)*(1/5)</f>
        <v>11.598571428571429</v>
      </c>
      <c r="F19" s="10" t="s">
        <v>1161</v>
      </c>
      <c r="G19" s="2" t="s">
        <v>1162</v>
      </c>
      <c r="K19" s="32" t="s">
        <v>161</v>
      </c>
      <c r="L19" s="30">
        <v>11.598571428571429</v>
      </c>
    </row>
    <row r="20" spans="1:31">
      <c r="A20" s="15" t="s">
        <v>291</v>
      </c>
      <c r="B20" s="27">
        <v>1</v>
      </c>
      <c r="C20" s="3">
        <f t="shared" si="0"/>
        <v>2</v>
      </c>
      <c r="D20" s="13">
        <f t="shared" si="2"/>
        <v>81.19</v>
      </c>
      <c r="E20" s="23">
        <f>(D20-D16)*(1/5)</f>
        <v>11.598571428571429</v>
      </c>
      <c r="F20" s="10" t="s">
        <v>1161</v>
      </c>
      <c r="G20" s="2" t="s">
        <v>1162</v>
      </c>
      <c r="K20" s="33" t="s">
        <v>1163</v>
      </c>
      <c r="L20" s="30">
        <v>11.598571428571429</v>
      </c>
    </row>
    <row r="21" spans="1:31">
      <c r="A21" s="15" t="s">
        <v>1164</v>
      </c>
      <c r="B21" s="27">
        <v>1</v>
      </c>
      <c r="C21" s="3">
        <f t="shared" si="0"/>
        <v>1</v>
      </c>
      <c r="D21" s="13">
        <f>B3</f>
        <v>162.38</v>
      </c>
      <c r="E21" s="23">
        <f>(D21-D20)/2</f>
        <v>40.594999999999999</v>
      </c>
      <c r="F21" s="10" t="s">
        <v>1161</v>
      </c>
      <c r="G21" s="2" t="s">
        <v>198</v>
      </c>
      <c r="K21" s="33" t="s">
        <v>291</v>
      </c>
      <c r="L21" s="30">
        <v>11.598571428571429</v>
      </c>
    </row>
    <row r="22" spans="1:31" ht="15" customHeight="1">
      <c r="A22" s="15" t="s">
        <v>1165</v>
      </c>
      <c r="B22" s="27">
        <v>1</v>
      </c>
      <c r="C22" s="3">
        <f t="shared" si="0"/>
        <v>0</v>
      </c>
      <c r="D22" s="13">
        <f>B3</f>
        <v>162.38</v>
      </c>
      <c r="E22" s="23">
        <f>(D22-D20)/2</f>
        <v>40.594999999999999</v>
      </c>
      <c r="F22" s="10" t="s">
        <v>1161</v>
      </c>
      <c r="G22" s="2" t="s">
        <v>198</v>
      </c>
      <c r="K22" s="24" t="s">
        <v>1164</v>
      </c>
      <c r="L22" s="3">
        <v>40.6</v>
      </c>
    </row>
    <row r="23" spans="1:31" ht="15" customHeight="1">
      <c r="A23" s="3" t="s">
        <v>199</v>
      </c>
      <c r="B23" s="14"/>
      <c r="C23" s="3"/>
      <c r="D23" s="13">
        <f>D22</f>
        <v>162.38</v>
      </c>
      <c r="E23" s="23"/>
      <c r="F23" s="17"/>
      <c r="G23" s="2"/>
      <c r="K23" s="24" t="s">
        <v>1165</v>
      </c>
      <c r="L23" s="3">
        <v>40.6</v>
      </c>
    </row>
    <row r="24" spans="1:31">
      <c r="K24" s="26" t="s">
        <v>199</v>
      </c>
      <c r="L24" s="22">
        <f>SUM(L16:L23)</f>
        <v>164.19422222222224</v>
      </c>
    </row>
    <row r="31" spans="1:31">
      <c r="N31" s="20" t="s">
        <v>191</v>
      </c>
      <c r="O31" s="1" t="s">
        <v>159</v>
      </c>
      <c r="P31" s="1" t="s">
        <v>1166</v>
      </c>
      <c r="Q31" s="535" t="s">
        <v>192</v>
      </c>
      <c r="R31" s="1" t="s">
        <v>1158</v>
      </c>
      <c r="S31" s="1" t="s">
        <v>164</v>
      </c>
      <c r="T31" s="1" t="s">
        <v>166</v>
      </c>
      <c r="U31" s="1" t="s">
        <v>1159</v>
      </c>
      <c r="V31" s="1" t="s">
        <v>1160</v>
      </c>
      <c r="W31" s="1" t="s">
        <v>163</v>
      </c>
      <c r="X31" s="535" t="s">
        <v>991</v>
      </c>
      <c r="Y31" s="1" t="s">
        <v>171</v>
      </c>
      <c r="Z31" s="1" t="s">
        <v>161</v>
      </c>
      <c r="AA31" s="1" t="s">
        <v>1163</v>
      </c>
      <c r="AB31" s="1" t="s">
        <v>291</v>
      </c>
      <c r="AC31" s="1" t="s">
        <v>1164</v>
      </c>
      <c r="AD31" s="1" t="s">
        <v>1165</v>
      </c>
      <c r="AE31" s="535" t="s">
        <v>199</v>
      </c>
    </row>
    <row r="32" spans="1:31">
      <c r="N32" s="20" t="s">
        <v>1167</v>
      </c>
      <c r="O32" s="3" t="s">
        <v>1168</v>
      </c>
      <c r="P32" s="3" t="s">
        <v>1168</v>
      </c>
      <c r="Q32" s="536"/>
      <c r="R32" s="2" t="s">
        <v>92</v>
      </c>
      <c r="S32" s="2" t="s">
        <v>98</v>
      </c>
      <c r="T32" s="2" t="s">
        <v>116</v>
      </c>
      <c r="U32" s="2" t="s">
        <v>95</v>
      </c>
      <c r="V32" s="2" t="s">
        <v>118</v>
      </c>
      <c r="W32" s="2" t="s">
        <v>98</v>
      </c>
      <c r="X32" s="536"/>
      <c r="Y32" s="2" t="s">
        <v>234</v>
      </c>
      <c r="Z32" s="2" t="s">
        <v>118</v>
      </c>
      <c r="AA32" s="2" t="s">
        <v>124</v>
      </c>
      <c r="AB32" s="2" t="s">
        <v>118</v>
      </c>
      <c r="AC32" s="2" t="s">
        <v>1161</v>
      </c>
      <c r="AD32" s="2" t="s">
        <v>121</v>
      </c>
      <c r="AE32" s="536"/>
    </row>
    <row r="33" spans="14:31">
      <c r="N33" s="20" t="s">
        <v>208</v>
      </c>
      <c r="O33" s="2" t="s">
        <v>1169</v>
      </c>
      <c r="P33" s="2" t="s">
        <v>1169</v>
      </c>
      <c r="Q33" s="536"/>
      <c r="R33" s="2" t="s">
        <v>1170</v>
      </c>
      <c r="S33" s="2" t="s">
        <v>1171</v>
      </c>
      <c r="T33" s="2" t="s">
        <v>1172</v>
      </c>
      <c r="U33" s="2" t="s">
        <v>1173</v>
      </c>
      <c r="V33" s="2" t="s">
        <v>1172</v>
      </c>
      <c r="W33" s="2" t="s">
        <v>1174</v>
      </c>
      <c r="X33" s="536"/>
      <c r="Y33" s="2" t="s">
        <v>324</v>
      </c>
      <c r="Z33" s="2" t="s">
        <v>1175</v>
      </c>
      <c r="AA33" s="2" t="s">
        <v>1176</v>
      </c>
      <c r="AB33" s="2" t="s">
        <v>1161</v>
      </c>
      <c r="AC33" s="2" t="s">
        <v>1161</v>
      </c>
      <c r="AD33" s="2" t="s">
        <v>1161</v>
      </c>
      <c r="AE33" s="536"/>
    </row>
    <row r="34" spans="14:31">
      <c r="N34" s="20" t="s">
        <v>1177</v>
      </c>
      <c r="O34" s="2" t="s">
        <v>1169</v>
      </c>
      <c r="P34" s="2" t="s">
        <v>1169</v>
      </c>
      <c r="Q34" s="536"/>
      <c r="R34" s="2" t="s">
        <v>1178</v>
      </c>
      <c r="S34" s="2" t="s">
        <v>1179</v>
      </c>
      <c r="T34" s="2" t="s">
        <v>1180</v>
      </c>
      <c r="U34" s="2"/>
      <c r="V34" s="2" t="s">
        <v>1181</v>
      </c>
      <c r="W34" s="2"/>
      <c r="X34" s="536"/>
      <c r="Y34" s="2" t="s">
        <v>1161</v>
      </c>
      <c r="Z34" s="2" t="s">
        <v>1161</v>
      </c>
      <c r="AA34" s="2" t="s">
        <v>1161</v>
      </c>
      <c r="AB34" s="2" t="s">
        <v>1161</v>
      </c>
      <c r="AC34" s="2" t="s">
        <v>1161</v>
      </c>
      <c r="AD34" s="2" t="s">
        <v>1161</v>
      </c>
      <c r="AE34" s="536"/>
    </row>
    <row r="35" spans="14:31">
      <c r="N35" s="20" t="s">
        <v>1157</v>
      </c>
      <c r="O35" s="2" t="s">
        <v>1169</v>
      </c>
      <c r="P35" s="2" t="s">
        <v>1169</v>
      </c>
      <c r="Q35" s="537"/>
      <c r="R35" s="2" t="s">
        <v>1182</v>
      </c>
      <c r="S35" s="2" t="s">
        <v>1183</v>
      </c>
      <c r="T35" s="2" t="s">
        <v>1184</v>
      </c>
      <c r="U35" s="2" t="s">
        <v>1185</v>
      </c>
      <c r="V35" s="2" t="s">
        <v>1186</v>
      </c>
      <c r="W35" s="2" t="s">
        <v>1186</v>
      </c>
      <c r="X35" s="537"/>
      <c r="Y35" s="2" t="s">
        <v>1161</v>
      </c>
      <c r="Z35" s="2" t="s">
        <v>1161</v>
      </c>
      <c r="AA35" s="2" t="s">
        <v>1161</v>
      </c>
      <c r="AB35" s="2" t="s">
        <v>1161</v>
      </c>
      <c r="AC35" s="2" t="s">
        <v>1161</v>
      </c>
      <c r="AD35" s="2" t="s">
        <v>1161</v>
      </c>
      <c r="AE35" s="537"/>
    </row>
  </sheetData>
  <mergeCells count="3">
    <mergeCell ref="Q31:Q35"/>
    <mergeCell ref="X31:X35"/>
    <mergeCell ref="AE31:AE35"/>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9162F-DDE2-42C9-8F48-906BFA17CEA9}">
  <sheetPr>
    <tabColor rgb="FF92D050"/>
  </sheetPr>
  <dimension ref="A1:L30"/>
  <sheetViews>
    <sheetView topLeftCell="A19" workbookViewId="0">
      <selection activeCell="K33" sqref="K33"/>
    </sheetView>
  </sheetViews>
  <sheetFormatPr defaultRowHeight="15"/>
  <cols>
    <col min="1" max="1" width="16.42578125" bestFit="1" customWidth="1"/>
    <col min="3" max="3" width="23.140625" customWidth="1"/>
    <col min="4" max="4" width="21.85546875" customWidth="1"/>
    <col min="5" max="5" width="14.140625" customWidth="1"/>
    <col min="8" max="12" width="14.85546875" customWidth="1"/>
  </cols>
  <sheetData>
    <row r="1" spans="1:12">
      <c r="A1" s="37" t="s">
        <v>1144</v>
      </c>
      <c r="C1" s="92" t="str">
        <f>MTBF_Intel16[[#Headers],[Productive time '[hrs']]]</f>
        <v>Productive time [hrs]</v>
      </c>
      <c r="D1" s="92" t="str">
        <f>MTBF_Intel16[[#Headers],[Uptime '[hrs']]]</f>
        <v>Uptime [hrs]</v>
      </c>
      <c r="E1" s="92" t="str">
        <f>MTBF_Intel16[[#Headers],[P hits]]</f>
        <v>P hits</v>
      </c>
      <c r="F1" s="92" t="str">
        <f>MTBF_Intel16[[#Headers],[U hits]]</f>
        <v>U hits</v>
      </c>
      <c r="G1" s="92"/>
      <c r="H1" s="92" t="str">
        <f>MTBF_Intel16[[#Headers],[MTBFp 4wma]]</f>
        <v>MTBFp 4wma</v>
      </c>
      <c r="I1" s="92" t="str">
        <f>MTBF_Intel16[[#Headers],[MTBFp 13wma]]</f>
        <v>MTBFp 13wma</v>
      </c>
      <c r="J1" s="92"/>
      <c r="K1" s="92" t="str">
        <f>MTBF_Intel16[[#Headers],[MTBFu 4wma]]</f>
        <v>MTBFu 4wma</v>
      </c>
      <c r="L1" s="92" t="str">
        <f>MTBF_Intel16[[#Headers],[MTBFu 13wma]]</f>
        <v>MTBFu 13wma</v>
      </c>
    </row>
    <row r="2" spans="1:12">
      <c r="A2" s="87" t="s">
        <v>1134</v>
      </c>
      <c r="B2" s="90">
        <f>MAX(MTBF_Intel16[Week])</f>
        <v>2502</v>
      </c>
      <c r="C2" s="94">
        <f>SUMIFS(MTBF_Intel16[Productive time '[hrs']],MTBF_Intel16[Week],"&lt;="&amp;B2,MTBF_Intel16[Week],"&gt;="&amp;(B2-3))</f>
        <v>0</v>
      </c>
      <c r="D2" s="94">
        <f>SUMIFS(MTBF_Intel16[Uptime '[hrs']],MTBF_Intel16[Week],"&lt;="&amp;B2,MTBF_Intel16[Week],"&gt;="&amp;(B2-3))</f>
        <v>0</v>
      </c>
      <c r="E2" s="88">
        <f>SUMIFS(MTBF_Intel16[P hits],MTBF_Intel16[Week],"&lt;="&amp;B2,MTBF_Intel16[Week],"&gt;="&amp;(B2-3))</f>
        <v>0</v>
      </c>
      <c r="F2" s="88">
        <f>SUMIFS(MTBF_Intel16[U hits],MTBF_Intel16[Week],"&lt;="&amp;B2,MTBF_Intel16[Week],"&gt;="&amp;(B2-3))</f>
        <v>0</v>
      </c>
      <c r="G2" s="88"/>
      <c r="H2" s="91">
        <f>_xlfn.XLOOKUP(B2,MTBF_Intel16[Week],MTBF_Intel16[MTBFp 4wma],"not found",0)</f>
        <v>0</v>
      </c>
      <c r="I2" s="91">
        <f>_xlfn.XLOOKUP(B2,MTBF_Intel16[Week],MTBF_Intel16[MTBFp 13wma],"not found",0)</f>
        <v>0</v>
      </c>
      <c r="J2" s="88"/>
      <c r="K2" s="91">
        <f>_xlfn.XLOOKUP(B2,MTBF_Intel16[Week],MTBF_Intel16[MTBFu 4wma],"not found",0)</f>
        <v>0</v>
      </c>
      <c r="L2" s="91">
        <f>_xlfn.XLOOKUP(B2,MTBF_Intel16[Week],MTBF_Intel16[MTBFu 13wma],"not found",0)</f>
        <v>0</v>
      </c>
    </row>
    <row r="3" spans="1:12">
      <c r="A3" s="147"/>
      <c r="C3" s="148"/>
      <c r="D3" s="148"/>
      <c r="E3" s="92"/>
      <c r="F3" s="92"/>
      <c r="G3" s="92"/>
      <c r="H3" s="149"/>
      <c r="I3" s="149"/>
      <c r="J3" s="92"/>
      <c r="K3" s="149"/>
    </row>
    <row r="5" spans="1:12">
      <c r="A5" s="37" t="s">
        <v>83</v>
      </c>
      <c r="B5" s="37" t="s">
        <v>1135</v>
      </c>
      <c r="C5" s="37" t="s">
        <v>1136</v>
      </c>
      <c r="D5" s="37" t="s">
        <v>1137</v>
      </c>
      <c r="E5" s="37" t="s">
        <v>75</v>
      </c>
      <c r="F5" s="37" t="s">
        <v>76</v>
      </c>
      <c r="G5" s="37" t="s">
        <v>1138</v>
      </c>
      <c r="H5" s="37" t="s">
        <v>1139</v>
      </c>
      <c r="I5" s="37" t="s">
        <v>1140</v>
      </c>
      <c r="J5" s="37" t="s">
        <v>1141</v>
      </c>
      <c r="K5" s="37" t="s">
        <v>1142</v>
      </c>
      <c r="L5" s="37" t="s">
        <v>1143</v>
      </c>
    </row>
    <row r="6" spans="1:12">
      <c r="A6" s="89">
        <v>2430</v>
      </c>
      <c r="B6" s="89" t="str">
        <f t="shared" ref="B6:B29" si="0">"wk"&amp;A6</f>
        <v>wk2430</v>
      </c>
      <c r="C6" s="93">
        <f>SUMIFS(Runhours_Table[Productive Hours],Runhours_Table[Year-Week Number],MTBF_Intel16[[#This Row],[Week]],Runhours_Table[System],$A$1)</f>
        <v>0</v>
      </c>
      <c r="D6" s="93">
        <f>SUMIFS(Runhours_Table[Up Time],Runhours_Table[Year-Week Number],MTBF_Intel16[[#This Row],[Week]],Runhours_Table[System],$A$1)</f>
        <v>0</v>
      </c>
      <c r="E6" s="89">
        <f>COUNTIFS(Errorlog_table[System],$A$1,Errorlog_table[Year_Week_Number],MTBF_Intel16[[#This Row],[Week]],Errorlog_table[P_Hits],"Y",Errorlog_table[Reconciled],"Y")</f>
        <v>0</v>
      </c>
      <c r="F6" s="89">
        <f>COUNTIFS(Errorlog_table[System],$A$1,Errorlog_table[Year_Week_Number],MTBF_Intel16[[#This Row],[Week]],Errorlog_table[U_Hits],"Y",Errorlog_table[Reconciled],"Y")</f>
        <v>0</v>
      </c>
      <c r="G6" s="95">
        <f>IF(MTBF_Intel16[[#This Row],[P hits]]=0,MTBF_Intel16[[#This Row],[Productive time '[hrs']]],MTBF_Intel16[[#This Row],[Productive time '[hrs']]]/MTBF_Intel16[[#This Row],[P hits]])</f>
        <v>0</v>
      </c>
      <c r="H6" s="95">
        <f t="shared" ref="H6:H25" si="1">IF(SUM(E3:E6)=0,SUM(C3:C6),SUM(C3:C6)/SUM(E3:E6))</f>
        <v>0</v>
      </c>
      <c r="I6" s="89"/>
      <c r="J6" s="95">
        <f>IF(MTBF_Intel16[[#This Row],[U hits]]=0,MTBF_Intel16[[#This Row],[Uptime '[hrs']]],MTBF_Intel16[[#This Row],[Uptime '[hrs']]]/MTBF_Intel16[[#This Row],[U hits]])</f>
        <v>0</v>
      </c>
      <c r="K6" s="95">
        <f t="shared" ref="K6:K25" si="2">IF(SUM(F3:F6)=0,SUM(D3:D6),SUM(D3:D6)/SUM(F3:F6))</f>
        <v>0</v>
      </c>
      <c r="L6" s="95"/>
    </row>
    <row r="7" spans="1:12">
      <c r="A7" s="89">
        <v>2431</v>
      </c>
      <c r="B7" s="89" t="str">
        <f t="shared" si="0"/>
        <v>wk2431</v>
      </c>
      <c r="C7" s="93">
        <f>SUMIFS(Runhours_Table[Productive Hours],Runhours_Table[Year-Week Number],MTBF_Intel16[[#This Row],[Week]],Runhours_Table[System],$A$1)</f>
        <v>0</v>
      </c>
      <c r="D7" s="93">
        <f>SUMIFS(Runhours_Table[Up Time],Runhours_Table[Year-Week Number],MTBF_Intel16[[#This Row],[Week]],Runhours_Table[System],$A$1)</f>
        <v>0</v>
      </c>
      <c r="E7" s="89">
        <f>COUNTIFS(Errorlog_table[System],$A$1,Errorlog_table[Year_Week_Number],MTBF_Intel16[[#This Row],[Week]],Errorlog_table[P_Hits],"Y",Errorlog_table[Reconciled],"Y")</f>
        <v>0</v>
      </c>
      <c r="F7" s="89">
        <f>COUNTIFS(Errorlog_table[System],$A$1,Errorlog_table[Year_Week_Number],MTBF_Intel16[[#This Row],[Week]],Errorlog_table[U_Hits],"Y",Errorlog_table[Reconciled],"Y")</f>
        <v>0</v>
      </c>
      <c r="G7" s="95">
        <f>IF(MTBF_Intel16[[#This Row],[P hits]]=0,MTBF_Intel16[[#This Row],[Productive time '[hrs']]],MTBF_Intel16[[#This Row],[Productive time '[hrs']]]/MTBF_Intel16[[#This Row],[P hits]])</f>
        <v>0</v>
      </c>
      <c r="H7" s="95">
        <f t="shared" si="1"/>
        <v>0</v>
      </c>
      <c r="I7" s="89"/>
      <c r="J7" s="95">
        <f>IF(MTBF_Intel16[[#This Row],[U hits]]=0,MTBF_Intel16[[#This Row],[Uptime '[hrs']]],MTBF_Intel16[[#This Row],[Uptime '[hrs']]]/MTBF_Intel16[[#This Row],[U hits]])</f>
        <v>0</v>
      </c>
      <c r="K7" s="95">
        <f t="shared" si="2"/>
        <v>0</v>
      </c>
      <c r="L7" s="95"/>
    </row>
    <row r="8" spans="1:12">
      <c r="A8" s="89">
        <v>2432</v>
      </c>
      <c r="B8" s="89" t="str">
        <f t="shared" si="0"/>
        <v>wk2432</v>
      </c>
      <c r="C8" s="93">
        <f>SUMIFS(Runhours_Table[Productive Hours],Runhours_Table[Year-Week Number],MTBF_Intel16[[#This Row],[Week]],Runhours_Table[System],$A$1)</f>
        <v>0</v>
      </c>
      <c r="D8" s="93">
        <f>SUMIFS(Runhours_Table[Up Time],Runhours_Table[Year-Week Number],MTBF_Intel16[[#This Row],[Week]],Runhours_Table[System],$A$1)</f>
        <v>0</v>
      </c>
      <c r="E8" s="89">
        <f>COUNTIFS(Errorlog_table[System],$A$1,Errorlog_table[Year_Week_Number],MTBF_Intel16[[#This Row],[Week]],Errorlog_table[P_Hits],"Y",Errorlog_table[Reconciled],"Y")</f>
        <v>0</v>
      </c>
      <c r="F8" s="89">
        <f>COUNTIFS(Errorlog_table[System],$A$1,Errorlog_table[Year_Week_Number],MTBF_Intel16[[#This Row],[Week]],Errorlog_table[U_Hits],"Y",Errorlog_table[Reconciled],"Y")</f>
        <v>0</v>
      </c>
      <c r="G8" s="95">
        <f>IF(MTBF_Intel16[[#This Row],[P hits]]=0,MTBF_Intel16[[#This Row],[Productive time '[hrs']]],MTBF_Intel16[[#This Row],[Productive time '[hrs']]]/MTBF_Intel16[[#This Row],[P hits]])</f>
        <v>0</v>
      </c>
      <c r="H8" s="95">
        <f t="shared" si="1"/>
        <v>0</v>
      </c>
      <c r="I8" s="95"/>
      <c r="J8" s="95">
        <f>IF(MTBF_Intel16[[#This Row],[U hits]]=0,MTBF_Intel16[[#This Row],[Uptime '[hrs']]],MTBF_Intel16[[#This Row],[Uptime '[hrs']]]/MTBF_Intel16[[#This Row],[U hits]])</f>
        <v>0</v>
      </c>
      <c r="K8" s="95">
        <f t="shared" si="2"/>
        <v>0</v>
      </c>
      <c r="L8" s="95"/>
    </row>
    <row r="9" spans="1:12">
      <c r="A9" s="89">
        <v>2433</v>
      </c>
      <c r="B9" s="89" t="str">
        <f t="shared" si="0"/>
        <v>wk2433</v>
      </c>
      <c r="C9" s="93">
        <f>SUMIFS(Runhours_Table[Productive Hours],Runhours_Table[Year-Week Number],MTBF_Intel16[[#This Row],[Week]],Runhours_Table[System],$A$1)</f>
        <v>0</v>
      </c>
      <c r="D9" s="93">
        <f>SUMIFS(Runhours_Table[Up Time],Runhours_Table[Year-Week Number],MTBF_Intel16[[#This Row],[Week]],Runhours_Table[System],$A$1)</f>
        <v>0</v>
      </c>
      <c r="E9" s="89">
        <f>COUNTIFS(Errorlog_table[System],$A$1,Errorlog_table[Year_Week_Number],MTBF_Intel16[[#This Row],[Week]],Errorlog_table[P_Hits],"Y",Errorlog_table[Reconciled],"Y")</f>
        <v>0</v>
      </c>
      <c r="F9" s="89">
        <f>COUNTIFS(Errorlog_table[System],$A$1,Errorlog_table[Year_Week_Number],MTBF_Intel16[[#This Row],[Week]],Errorlog_table[U_Hits],"Y",Errorlog_table[Reconciled],"Y")</f>
        <v>0</v>
      </c>
      <c r="G9" s="95">
        <f>IF(MTBF_Intel16[[#This Row],[P hits]]=0,MTBF_Intel16[[#This Row],[Productive time '[hrs']]],MTBF_Intel16[[#This Row],[Productive time '[hrs']]]/MTBF_Intel16[[#This Row],[P hits]])</f>
        <v>0</v>
      </c>
      <c r="H9" s="95">
        <f t="shared" si="1"/>
        <v>0</v>
      </c>
      <c r="I9" s="95"/>
      <c r="J9" s="95">
        <f>IF(MTBF_Intel16[[#This Row],[U hits]]=0,MTBF_Intel16[[#This Row],[Uptime '[hrs']]],MTBF_Intel16[[#This Row],[Uptime '[hrs']]]/MTBF_Intel16[[#This Row],[U hits]])</f>
        <v>0</v>
      </c>
      <c r="K9" s="95">
        <f t="shared" si="2"/>
        <v>0</v>
      </c>
      <c r="L9" s="95"/>
    </row>
    <row r="10" spans="1:12">
      <c r="A10" s="89">
        <v>2434</v>
      </c>
      <c r="B10" s="89" t="str">
        <f t="shared" si="0"/>
        <v>wk2434</v>
      </c>
      <c r="C10" s="93">
        <f>SUMIFS(Runhours_Table[Productive Hours],Runhours_Table[Year-Week Number],MTBF_Intel16[[#This Row],[Week]],Runhours_Table[System],$A$1)</f>
        <v>0</v>
      </c>
      <c r="D10" s="93">
        <f>SUMIFS(Runhours_Table[Up Time],Runhours_Table[Year-Week Number],MTBF_Intel16[[#This Row],[Week]],Runhours_Table[System],$A$1)</f>
        <v>0</v>
      </c>
      <c r="E10" s="89">
        <f>COUNTIFS(Errorlog_table[System],$A$1,Errorlog_table[Year_Week_Number],MTBF_Intel16[[#This Row],[Week]],Errorlog_table[P_Hits],"Y",Errorlog_table[Reconciled],"Y")</f>
        <v>0</v>
      </c>
      <c r="F10" s="89">
        <f>COUNTIFS(Errorlog_table[System],$A$1,Errorlog_table[Year_Week_Number],MTBF_Intel16[[#This Row],[Week]],Errorlog_table[U_Hits],"Y",Errorlog_table[Reconciled],"Y")</f>
        <v>0</v>
      </c>
      <c r="G10" s="95">
        <f>IF(MTBF_Intel16[[#This Row],[P hits]]=0,MTBF_Intel16[[#This Row],[Productive time '[hrs']]],MTBF_Intel16[[#This Row],[Productive time '[hrs']]]/MTBF_Intel16[[#This Row],[P hits]])</f>
        <v>0</v>
      </c>
      <c r="H10" s="95">
        <f t="shared" si="1"/>
        <v>0</v>
      </c>
      <c r="I10" s="95"/>
      <c r="J10" s="95">
        <f>IF(MTBF_Intel16[[#This Row],[U hits]]=0,MTBF_Intel16[[#This Row],[Uptime '[hrs']]],MTBF_Intel16[[#This Row],[Uptime '[hrs']]]/MTBF_Intel16[[#This Row],[U hits]])</f>
        <v>0</v>
      </c>
      <c r="K10" s="95">
        <f t="shared" si="2"/>
        <v>0</v>
      </c>
      <c r="L10" s="95"/>
    </row>
    <row r="11" spans="1:12">
      <c r="A11" s="89">
        <v>2435</v>
      </c>
      <c r="B11" s="89" t="str">
        <f t="shared" si="0"/>
        <v>wk2435</v>
      </c>
      <c r="C11" s="93">
        <f>SUMIFS(Runhours_Table[Productive Hours],Runhours_Table[Year-Week Number],MTBF_Intel16[[#This Row],[Week]],Runhours_Table[System],$A$1)</f>
        <v>0</v>
      </c>
      <c r="D11" s="93">
        <f>SUMIFS(Runhours_Table[Up Time],Runhours_Table[Year-Week Number],MTBF_Intel16[[#This Row],[Week]],Runhours_Table[System],$A$1)</f>
        <v>0</v>
      </c>
      <c r="E11" s="89">
        <f>COUNTIFS(Errorlog_table[System],$A$1,Errorlog_table[Year_Week_Number],MTBF_Intel16[[#This Row],[Week]],Errorlog_table[P_Hits],"Y",Errorlog_table[Reconciled],"Y")</f>
        <v>0</v>
      </c>
      <c r="F11" s="89">
        <f>COUNTIFS(Errorlog_table[System],$A$1,Errorlog_table[Year_Week_Number],MTBF_Intel16[[#This Row],[Week]],Errorlog_table[U_Hits],"Y",Errorlog_table[Reconciled],"Y")</f>
        <v>0</v>
      </c>
      <c r="G11" s="95">
        <f>IF(MTBF_Intel16[[#This Row],[P hits]]=0,MTBF_Intel16[[#This Row],[Productive time '[hrs']]],MTBF_Intel16[[#This Row],[Productive time '[hrs']]]/MTBF_Intel16[[#This Row],[P hits]])</f>
        <v>0</v>
      </c>
      <c r="H11" s="95">
        <f t="shared" si="1"/>
        <v>0</v>
      </c>
      <c r="I11" s="95"/>
      <c r="J11" s="95">
        <f>IF(MTBF_Intel16[[#This Row],[U hits]]=0,MTBF_Intel16[[#This Row],[Uptime '[hrs']]],MTBF_Intel16[[#This Row],[Uptime '[hrs']]]/MTBF_Intel16[[#This Row],[U hits]])</f>
        <v>0</v>
      </c>
      <c r="K11" s="95">
        <f t="shared" si="2"/>
        <v>0</v>
      </c>
      <c r="L11" s="95"/>
    </row>
    <row r="12" spans="1:12">
      <c r="A12" s="89">
        <v>2436</v>
      </c>
      <c r="B12" s="89" t="str">
        <f t="shared" si="0"/>
        <v>wk2436</v>
      </c>
      <c r="C12" s="93">
        <f>SUMIFS(Runhours_Table[Productive Hours],Runhours_Table[Year-Week Number],MTBF_Intel16[[#This Row],[Week]],Runhours_Table[System],$A$1)</f>
        <v>0</v>
      </c>
      <c r="D12" s="93">
        <f>SUMIFS(Runhours_Table[Up Time],Runhours_Table[Year-Week Number],MTBF_Intel16[[#This Row],[Week]],Runhours_Table[System],$A$1)</f>
        <v>0</v>
      </c>
      <c r="E12" s="89">
        <f>COUNTIFS(Errorlog_table[System],$A$1,Errorlog_table[Year_Week_Number],MTBF_Intel16[[#This Row],[Week]],Errorlog_table[P_Hits],"Y",Errorlog_table[Reconciled],"Y")</f>
        <v>0</v>
      </c>
      <c r="F12" s="89">
        <f>COUNTIFS(Errorlog_table[System],$A$1,Errorlog_table[Year_Week_Number],MTBF_Intel16[[#This Row],[Week]],Errorlog_table[U_Hits],"Y",Errorlog_table[Reconciled],"Y")</f>
        <v>0</v>
      </c>
      <c r="G12" s="95">
        <f>IF(MTBF_Intel16[[#This Row],[P hits]]=0,MTBF_Intel16[[#This Row],[Productive time '[hrs']]],MTBF_Intel16[[#This Row],[Productive time '[hrs']]]/MTBF_Intel16[[#This Row],[P hits]])</f>
        <v>0</v>
      </c>
      <c r="H12" s="95">
        <f t="shared" si="1"/>
        <v>0</v>
      </c>
      <c r="I12" s="95"/>
      <c r="J12" s="95">
        <f>IF(MTBF_Intel16[[#This Row],[U hits]]=0,MTBF_Intel16[[#This Row],[Uptime '[hrs']]],MTBF_Intel16[[#This Row],[Uptime '[hrs']]]/MTBF_Intel16[[#This Row],[U hits]])</f>
        <v>0</v>
      </c>
      <c r="K12" s="95">
        <f t="shared" si="2"/>
        <v>0</v>
      </c>
      <c r="L12" s="95"/>
    </row>
    <row r="13" spans="1:12">
      <c r="A13" s="89">
        <v>2437</v>
      </c>
      <c r="B13" s="89" t="str">
        <f t="shared" si="0"/>
        <v>wk2437</v>
      </c>
      <c r="C13" s="93">
        <f>SUMIFS(Runhours_Table[Productive Hours],Runhours_Table[Year-Week Number],MTBF_Intel16[[#This Row],[Week]],Runhours_Table[System],$A$1)</f>
        <v>0</v>
      </c>
      <c r="D13" s="93">
        <f>SUMIFS(Runhours_Table[Up Time],Runhours_Table[Year-Week Number],MTBF_Intel16[[#This Row],[Week]],Runhours_Table[System],$A$1)</f>
        <v>0</v>
      </c>
      <c r="E13" s="89">
        <f>COUNTIFS(Errorlog_table[System],$A$1,Errorlog_table[Year_Week_Number],MTBF_Intel16[[#This Row],[Week]],Errorlog_table[P_Hits],"Y",Errorlog_table[Reconciled],"Y")</f>
        <v>0</v>
      </c>
      <c r="F13" s="89">
        <f>COUNTIFS(Errorlog_table[System],$A$1,Errorlog_table[Year_Week_Number],MTBF_Intel16[[#This Row],[Week]],Errorlog_table[U_Hits],"Y",Errorlog_table[Reconciled],"Y")</f>
        <v>0</v>
      </c>
      <c r="G13" s="95">
        <f>IF(MTBF_Intel16[[#This Row],[P hits]]=0,MTBF_Intel16[[#This Row],[Productive time '[hrs']]],MTBF_Intel16[[#This Row],[Productive time '[hrs']]]/MTBF_Intel16[[#This Row],[P hits]])</f>
        <v>0</v>
      </c>
      <c r="H13" s="95">
        <f t="shared" si="1"/>
        <v>0</v>
      </c>
      <c r="I13" s="95"/>
      <c r="J13" s="95">
        <f>IF(MTBF_Intel16[[#This Row],[U hits]]=0,MTBF_Intel16[[#This Row],[Uptime '[hrs']]],MTBF_Intel16[[#This Row],[Uptime '[hrs']]]/MTBF_Intel16[[#This Row],[U hits]])</f>
        <v>0</v>
      </c>
      <c r="K13" s="95">
        <f t="shared" si="2"/>
        <v>0</v>
      </c>
      <c r="L13" s="95"/>
    </row>
    <row r="14" spans="1:12">
      <c r="A14" s="89">
        <v>2438</v>
      </c>
      <c r="B14" s="89" t="str">
        <f t="shared" si="0"/>
        <v>wk2438</v>
      </c>
      <c r="C14" s="93">
        <f>SUMIFS(Runhours_Table[Productive Hours],Runhours_Table[Year-Week Number],MTBF_Intel16[[#This Row],[Week]],Runhours_Table[System],$A$1)</f>
        <v>0</v>
      </c>
      <c r="D14" s="93">
        <f>SUMIFS(Runhours_Table[Up Time],Runhours_Table[Year-Week Number],MTBF_Intel16[[#This Row],[Week]],Runhours_Table[System],$A$1)</f>
        <v>0</v>
      </c>
      <c r="E14" s="89">
        <f>COUNTIFS(Errorlog_table[System],$A$1,Errorlog_table[Year_Week_Number],MTBF_Intel16[[#This Row],[Week]],Errorlog_table[P_Hits],"Y",Errorlog_table[Reconciled],"Y")</f>
        <v>0</v>
      </c>
      <c r="F14" s="89">
        <f>COUNTIFS(Errorlog_table[System],$A$1,Errorlog_table[Year_Week_Number],MTBF_Intel16[[#This Row],[Week]],Errorlog_table[U_Hits],"Y",Errorlog_table[Reconciled],"Y")</f>
        <v>0</v>
      </c>
      <c r="G14" s="95">
        <f>IF(MTBF_Intel16[[#This Row],[P hits]]=0,MTBF_Intel16[[#This Row],[Productive time '[hrs']]],MTBF_Intel16[[#This Row],[Productive time '[hrs']]]/MTBF_Intel16[[#This Row],[P hits]])</f>
        <v>0</v>
      </c>
      <c r="H14" s="95">
        <f t="shared" si="1"/>
        <v>0</v>
      </c>
      <c r="I14" s="95"/>
      <c r="J14" s="95">
        <f>IF(MTBF_Intel16[[#This Row],[U hits]]=0,MTBF_Intel16[[#This Row],[Uptime '[hrs']]],MTBF_Intel16[[#This Row],[Uptime '[hrs']]]/MTBF_Intel16[[#This Row],[U hits]])</f>
        <v>0</v>
      </c>
      <c r="K14" s="95">
        <f t="shared" si="2"/>
        <v>0</v>
      </c>
      <c r="L14" s="95"/>
    </row>
    <row r="15" spans="1:12">
      <c r="A15" s="89">
        <v>2439</v>
      </c>
      <c r="B15" s="89" t="str">
        <f t="shared" si="0"/>
        <v>wk2439</v>
      </c>
      <c r="C15" s="93">
        <f>SUMIFS(Runhours_Table[Productive Hours],Runhours_Table[Year-Week Number],MTBF_Intel16[[#This Row],[Week]],Runhours_Table[System],$A$1)</f>
        <v>0</v>
      </c>
      <c r="D15" s="93">
        <f>SUMIFS(Runhours_Table[Up Time],Runhours_Table[Year-Week Number],MTBF_Intel16[[#This Row],[Week]],Runhours_Table[System],$A$1)</f>
        <v>0</v>
      </c>
      <c r="E15" s="89">
        <f>COUNTIFS(Errorlog_table[System],$A$1,Errorlog_table[Year_Week_Number],MTBF_Intel16[[#This Row],[Week]],Errorlog_table[P_Hits],"Y",Errorlog_table[Reconciled],"Y")</f>
        <v>0</v>
      </c>
      <c r="F15" s="89">
        <f>COUNTIFS(Errorlog_table[System],$A$1,Errorlog_table[Year_Week_Number],MTBF_Intel16[[#This Row],[Week]],Errorlog_table[U_Hits],"Y",Errorlog_table[Reconciled],"Y")</f>
        <v>0</v>
      </c>
      <c r="G15" s="95">
        <f>IF(MTBF_Intel16[[#This Row],[P hits]]=0,MTBF_Intel16[[#This Row],[Productive time '[hrs']]],MTBF_Intel16[[#This Row],[Productive time '[hrs']]]/MTBF_Intel16[[#This Row],[P hits]])</f>
        <v>0</v>
      </c>
      <c r="H15" s="95">
        <f t="shared" si="1"/>
        <v>0</v>
      </c>
      <c r="I15" s="95"/>
      <c r="J15" s="95">
        <f>IF(MTBF_Intel16[[#This Row],[U hits]]=0,MTBF_Intel16[[#This Row],[Uptime '[hrs']]],MTBF_Intel16[[#This Row],[Uptime '[hrs']]]/MTBF_Intel16[[#This Row],[U hits]])</f>
        <v>0</v>
      </c>
      <c r="K15" s="95">
        <f t="shared" si="2"/>
        <v>0</v>
      </c>
      <c r="L15" s="95"/>
    </row>
    <row r="16" spans="1:12">
      <c r="A16" s="89">
        <v>2440</v>
      </c>
      <c r="B16" s="89" t="str">
        <f t="shared" si="0"/>
        <v>wk2440</v>
      </c>
      <c r="C16" s="93">
        <f>SUMIFS(Runhours_Table[Productive Hours],Runhours_Table[Year-Week Number],MTBF_Intel16[[#This Row],[Week]],Runhours_Table[System],$A$1)</f>
        <v>0</v>
      </c>
      <c r="D16" s="93">
        <f>SUMIFS(Runhours_Table[Up Time],Runhours_Table[Year-Week Number],MTBF_Intel16[[#This Row],[Week]],Runhours_Table[System],$A$1)</f>
        <v>0</v>
      </c>
      <c r="E16" s="89">
        <f>COUNTIFS(Errorlog_table[System],$A$1,Errorlog_table[Year_Week_Number],MTBF_Intel16[[#This Row],[Week]],Errorlog_table[P_Hits],"Y",Errorlog_table[Reconciled],"Y")</f>
        <v>0</v>
      </c>
      <c r="F16" s="89">
        <f>COUNTIFS(Errorlog_table[System],$A$1,Errorlog_table[Year_Week_Number],MTBF_Intel16[[#This Row],[Week]],Errorlog_table[U_Hits],"Y",Errorlog_table[Reconciled],"Y")</f>
        <v>0</v>
      </c>
      <c r="G16" s="95">
        <f>IF(MTBF_Intel16[[#This Row],[P hits]]=0,MTBF_Intel16[[#This Row],[Productive time '[hrs']]],MTBF_Intel16[[#This Row],[Productive time '[hrs']]]/MTBF_Intel16[[#This Row],[P hits]])</f>
        <v>0</v>
      </c>
      <c r="H16" s="95">
        <f t="shared" si="1"/>
        <v>0</v>
      </c>
      <c r="I16" s="95"/>
      <c r="J16" s="95">
        <f>IF(MTBF_Intel16[[#This Row],[U hits]]=0,MTBF_Intel16[[#This Row],[Uptime '[hrs']]],MTBF_Intel16[[#This Row],[Uptime '[hrs']]]/MTBF_Intel16[[#This Row],[U hits]])</f>
        <v>0</v>
      </c>
      <c r="K16" s="95">
        <f t="shared" si="2"/>
        <v>0</v>
      </c>
      <c r="L16" s="95"/>
    </row>
    <row r="17" spans="1:12">
      <c r="A17" s="89">
        <v>2441</v>
      </c>
      <c r="B17" s="89" t="str">
        <f t="shared" si="0"/>
        <v>wk2441</v>
      </c>
      <c r="C17" s="93">
        <f>SUMIFS(Runhours_Table[Productive Hours],Runhours_Table[Year-Week Number],MTBF_Intel16[[#This Row],[Week]],Runhours_Table[System],$A$1)</f>
        <v>0</v>
      </c>
      <c r="D17" s="93">
        <f>SUMIFS(Runhours_Table[Up Time],Runhours_Table[Year-Week Number],MTBF_Intel16[[#This Row],[Week]],Runhours_Table[System],$A$1)</f>
        <v>0</v>
      </c>
      <c r="E17" s="89">
        <f>COUNTIFS(Errorlog_table[System],$A$1,Errorlog_table[Year_Week_Number],MTBF_Intel16[[#This Row],[Week]],Errorlog_table[P_Hits],"Y",Errorlog_table[Reconciled],"Y")</f>
        <v>0</v>
      </c>
      <c r="F17" s="89">
        <f>COUNTIFS(Errorlog_table[System],$A$1,Errorlog_table[Year_Week_Number],MTBF_Intel16[[#This Row],[Week]],Errorlog_table[U_Hits],"Y",Errorlog_table[Reconciled],"Y")</f>
        <v>0</v>
      </c>
      <c r="G17" s="95">
        <f>IF(MTBF_Intel16[[#This Row],[P hits]]=0,MTBF_Intel16[[#This Row],[Productive time '[hrs']]],MTBF_Intel16[[#This Row],[Productive time '[hrs']]]/MTBF_Intel16[[#This Row],[P hits]])</f>
        <v>0</v>
      </c>
      <c r="H17" s="95">
        <f t="shared" si="1"/>
        <v>0</v>
      </c>
      <c r="I17" s="95"/>
      <c r="J17" s="95">
        <f>IF(MTBF_Intel16[[#This Row],[U hits]]=0,MTBF_Intel16[[#This Row],[Uptime '[hrs']]],MTBF_Intel16[[#This Row],[Uptime '[hrs']]]/MTBF_Intel16[[#This Row],[U hits]])</f>
        <v>0</v>
      </c>
      <c r="K17" s="95">
        <f t="shared" si="2"/>
        <v>0</v>
      </c>
      <c r="L17" s="95"/>
    </row>
    <row r="18" spans="1:12">
      <c r="A18" s="89">
        <v>2442</v>
      </c>
      <c r="B18" s="89" t="str">
        <f t="shared" si="0"/>
        <v>wk2442</v>
      </c>
      <c r="C18" s="93">
        <f>SUMIFS(Runhours_Table[Productive Hours],Runhours_Table[Year-Week Number],MTBF_Intel16[[#This Row],[Week]],Runhours_Table[System],$A$1)</f>
        <v>0</v>
      </c>
      <c r="D18" s="93">
        <f>SUMIFS(Runhours_Table[Up Time],Runhours_Table[Year-Week Number],MTBF_Intel16[[#This Row],[Week]],Runhours_Table[System],$A$1)</f>
        <v>0</v>
      </c>
      <c r="E18" s="89">
        <f>COUNTIFS(Errorlog_table[System],$A$1,Errorlog_table[Year_Week_Number],MTBF_Intel16[[#This Row],[Week]],Errorlog_table[P_Hits],"Y",Errorlog_table[Reconciled],"Y")</f>
        <v>0</v>
      </c>
      <c r="F18" s="89">
        <f>COUNTIFS(Errorlog_table[System],$A$1,Errorlog_table[Year_Week_Number],MTBF_Intel16[[#This Row],[Week]],Errorlog_table[U_Hits],"Y",Errorlog_table[Reconciled],"Y")</f>
        <v>0</v>
      </c>
      <c r="G18" s="95">
        <f>IF(MTBF_Intel16[[#This Row],[P hits]]=0,MTBF_Intel16[[#This Row],[Productive time '[hrs']]],MTBF_Intel16[[#This Row],[Productive time '[hrs']]]/MTBF_Intel16[[#This Row],[P hits]])</f>
        <v>0</v>
      </c>
      <c r="H18" s="95">
        <f t="shared" si="1"/>
        <v>0</v>
      </c>
      <c r="I18" s="95">
        <f>IF(SUM(E6:E18)=0,SUM(C6:C18),SUM(C6:C18)/SUM(E6:E18))</f>
        <v>0</v>
      </c>
      <c r="J18" s="95">
        <f>IF(MTBF_Intel16[[#This Row],[U hits]]=0,MTBF_Intel16[[#This Row],[Uptime '[hrs']]],MTBF_Intel16[[#This Row],[Uptime '[hrs']]]/MTBF_Intel16[[#This Row],[U hits]])</f>
        <v>0</v>
      </c>
      <c r="K18" s="95">
        <f t="shared" si="2"/>
        <v>0</v>
      </c>
      <c r="L18" s="95">
        <f>IF(SUM(F6:F18)=0,SUM(D6:D18),SUM(D6:D18)/SUM(F6:F18))</f>
        <v>0</v>
      </c>
    </row>
    <row r="19" spans="1:12">
      <c r="A19" s="89">
        <v>2443</v>
      </c>
      <c r="B19" s="89" t="str">
        <f t="shared" si="0"/>
        <v>wk2443</v>
      </c>
      <c r="C19" s="93">
        <f>SUMIFS(Runhours_Table[Productive Hours],Runhours_Table[Year-Week Number],MTBF_Intel16[[#This Row],[Week]],Runhours_Table[System],$A$1)</f>
        <v>0</v>
      </c>
      <c r="D19" s="93">
        <f>SUMIFS(Runhours_Table[Up Time],Runhours_Table[Year-Week Number],MTBF_Intel16[[#This Row],[Week]],Runhours_Table[System],$A$1)</f>
        <v>0</v>
      </c>
      <c r="E19" s="89">
        <f>COUNTIFS(Errorlog_table[System],$A$1,Errorlog_table[Year_Week_Number],MTBF_Intel16[[#This Row],[Week]],Errorlog_table[P_Hits],"Y",Errorlog_table[Reconciled],"Y")</f>
        <v>0</v>
      </c>
      <c r="F19" s="89">
        <f>COUNTIFS(Errorlog_table[System],$A$1,Errorlog_table[Year_Week_Number],MTBF_Intel16[[#This Row],[Week]],Errorlog_table[U_Hits],"Y",Errorlog_table[Reconciled],"Y")</f>
        <v>0</v>
      </c>
      <c r="G19" s="95">
        <f>IF(MTBF_Intel16[[#This Row],[P hits]]=0,MTBF_Intel16[[#This Row],[Productive time '[hrs']]],MTBF_Intel16[[#This Row],[Productive time '[hrs']]]/MTBF_Intel16[[#This Row],[P hits]])</f>
        <v>0</v>
      </c>
      <c r="H19" s="95">
        <f t="shared" si="1"/>
        <v>0</v>
      </c>
      <c r="I19" s="95">
        <f>IF(SUM(E7:E19)=0,SUM(C7:C19),SUM(C7:C19)/SUM(E7:E19))</f>
        <v>0</v>
      </c>
      <c r="J19" s="95">
        <f>IF(MTBF_Intel16[[#This Row],[U hits]]=0,MTBF_Intel16[[#This Row],[Uptime '[hrs']]],MTBF_Intel16[[#This Row],[Uptime '[hrs']]]/MTBF_Intel16[[#This Row],[U hits]])</f>
        <v>0</v>
      </c>
      <c r="K19" s="95">
        <f t="shared" si="2"/>
        <v>0</v>
      </c>
      <c r="L19" s="95">
        <f>IF(SUM(F7:F19)=0,SUM(D7:D19),SUM(D7:D19)/SUM(F7:F19))</f>
        <v>0</v>
      </c>
    </row>
    <row r="20" spans="1:12">
      <c r="A20" s="89">
        <v>2444</v>
      </c>
      <c r="B20" s="89" t="str">
        <f t="shared" si="0"/>
        <v>wk2444</v>
      </c>
      <c r="C20" s="93">
        <f>SUMIFS(Runhours_Table[Productive Hours],Runhours_Table[Year-Week Number],MTBF_Intel16[[#This Row],[Week]],Runhours_Table[System],$A$1)</f>
        <v>0</v>
      </c>
      <c r="D20" s="93">
        <f>SUMIFS(Runhours_Table[Up Time],Runhours_Table[Year-Week Number],MTBF_Intel16[[#This Row],[Week]],Runhours_Table[System],$A$1)</f>
        <v>0</v>
      </c>
      <c r="E20" s="89">
        <f>COUNTIFS(Errorlog_table[System],$A$1,Errorlog_table[Year_Week_Number],MTBF_Intel16[[#This Row],[Week]],Errorlog_table[P_Hits],"Y",Errorlog_table[Reconciled],"Y")</f>
        <v>0</v>
      </c>
      <c r="F20" s="89">
        <f>COUNTIFS(Errorlog_table[System],$A$1,Errorlog_table[Year_Week_Number],MTBF_Intel16[[#This Row],[Week]],Errorlog_table[U_Hits],"Y",Errorlog_table[Reconciled],"Y")</f>
        <v>0</v>
      </c>
      <c r="G20" s="95">
        <f>IF(MTBF_Intel16[[#This Row],[P hits]]=0,MTBF_Intel16[[#This Row],[Productive time '[hrs']]],MTBF_Intel16[[#This Row],[Productive time '[hrs']]]/MTBF_Intel16[[#This Row],[P hits]])</f>
        <v>0</v>
      </c>
      <c r="H20" s="95">
        <f t="shared" si="1"/>
        <v>0</v>
      </c>
      <c r="I20" s="95">
        <f t="shared" ref="I20:I26" si="3">IF(SUM(E8:E20)=0,SUM(C8:C20),SUM(C8:C20)/SUM(E8:E20))</f>
        <v>0</v>
      </c>
      <c r="J20" s="95">
        <f>IF(MTBF_Intel16[[#This Row],[U hits]]=0,MTBF_Intel16[[#This Row],[Uptime '[hrs']]],MTBF_Intel16[[#This Row],[Uptime '[hrs']]]/MTBF_Intel16[[#This Row],[U hits]])</f>
        <v>0</v>
      </c>
      <c r="K20" s="95">
        <f t="shared" si="2"/>
        <v>0</v>
      </c>
      <c r="L20" s="95">
        <f t="shared" ref="L20:L25" si="4">IF(SUM(F8:F20)=0,SUM(D8:D20),SUM(D8:D20)/SUM(F8:F20))</f>
        <v>0</v>
      </c>
    </row>
    <row r="21" spans="1:12">
      <c r="A21" s="89">
        <v>2445</v>
      </c>
      <c r="B21" s="89" t="str">
        <f t="shared" si="0"/>
        <v>wk2445</v>
      </c>
      <c r="C21" s="93">
        <f>SUMIFS(Runhours_Table[Productive Hours],Runhours_Table[Year-Week Number],MTBF_Intel16[[#This Row],[Week]],Runhours_Table[System],$A$1)</f>
        <v>0</v>
      </c>
      <c r="D21" s="93">
        <f>SUMIFS(Runhours_Table[Up Time],Runhours_Table[Year-Week Number],MTBF_Intel16[[#This Row],[Week]],Runhours_Table[System],$A$1)</f>
        <v>0</v>
      </c>
      <c r="E21" s="89">
        <f>COUNTIFS(Errorlog_table[System],$A$1,Errorlog_table[Year_Week_Number],MTBF_Intel16[[#This Row],[Week]],Errorlog_table[P_Hits],"Y",Errorlog_table[Reconciled],"Y")</f>
        <v>0</v>
      </c>
      <c r="F21" s="89">
        <f>COUNTIFS(Errorlog_table[System],$A$1,Errorlog_table[Year_Week_Number],MTBF_Intel16[[#This Row],[Week]],Errorlog_table[U_Hits],"Y",Errorlog_table[Reconciled],"Y")</f>
        <v>0</v>
      </c>
      <c r="G21" s="95">
        <f>IF(MTBF_Intel16[[#This Row],[P hits]]=0,MTBF_Intel16[[#This Row],[Productive time '[hrs']]],MTBF_Intel16[[#This Row],[Productive time '[hrs']]]/MTBF_Intel16[[#This Row],[P hits]])</f>
        <v>0</v>
      </c>
      <c r="H21" s="95">
        <f t="shared" si="1"/>
        <v>0</v>
      </c>
      <c r="I21" s="95">
        <f t="shared" si="3"/>
        <v>0</v>
      </c>
      <c r="J21" s="95">
        <f>IF(MTBF_Intel16[[#This Row],[U hits]]=0,MTBF_Intel16[[#This Row],[Uptime '[hrs']]],MTBF_Intel16[[#This Row],[Uptime '[hrs']]]/MTBF_Intel16[[#This Row],[U hits]])</f>
        <v>0</v>
      </c>
      <c r="K21" s="95">
        <f t="shared" si="2"/>
        <v>0</v>
      </c>
      <c r="L21" s="95">
        <f t="shared" si="4"/>
        <v>0</v>
      </c>
    </row>
    <row r="22" spans="1:12">
      <c r="A22" s="89">
        <v>2446</v>
      </c>
      <c r="B22" s="89" t="str">
        <f t="shared" si="0"/>
        <v>wk2446</v>
      </c>
      <c r="C22" s="93">
        <f>SUMIFS(Runhours_Table[Productive Hours],Runhours_Table[Year-Week Number],MTBF_Intel16[[#This Row],[Week]],Runhours_Table[System],$A$1)</f>
        <v>0</v>
      </c>
      <c r="D22" s="93">
        <f>SUMIFS(Runhours_Table[Up Time],Runhours_Table[Year-Week Number],MTBF_Intel16[[#This Row],[Week]],Runhours_Table[System],$A$1)</f>
        <v>0</v>
      </c>
      <c r="E22" s="89">
        <f>COUNTIFS(Errorlog_table[System],$A$1,Errorlog_table[Year_Week_Number],MTBF_Intel16[[#This Row],[Week]],Errorlog_table[P_Hits],"Y",Errorlog_table[Reconciled],"Y")</f>
        <v>0</v>
      </c>
      <c r="F22" s="89">
        <f>COUNTIFS(Errorlog_table[System],$A$1,Errorlog_table[Year_Week_Number],MTBF_Intel16[[#This Row],[Week]],Errorlog_table[U_Hits],"Y",Errorlog_table[Reconciled],"Y")</f>
        <v>0</v>
      </c>
      <c r="G22" s="95">
        <f>IF(MTBF_Intel16[[#This Row],[P hits]]=0,MTBF_Intel16[[#This Row],[Productive time '[hrs']]],MTBF_Intel16[[#This Row],[Productive time '[hrs']]]/MTBF_Intel16[[#This Row],[P hits]])</f>
        <v>0</v>
      </c>
      <c r="H22" s="95">
        <f t="shared" si="1"/>
        <v>0</v>
      </c>
      <c r="I22" s="95">
        <f t="shared" si="3"/>
        <v>0</v>
      </c>
      <c r="J22" s="95">
        <f>IF(MTBF_Intel16[[#This Row],[U hits]]=0,MTBF_Intel16[[#This Row],[Uptime '[hrs']]],MTBF_Intel16[[#This Row],[Uptime '[hrs']]]/MTBF_Intel16[[#This Row],[U hits]])</f>
        <v>0</v>
      </c>
      <c r="K22" s="95">
        <f t="shared" si="2"/>
        <v>0</v>
      </c>
      <c r="L22" s="95">
        <f t="shared" si="4"/>
        <v>0</v>
      </c>
    </row>
    <row r="23" spans="1:12">
      <c r="A23" s="89">
        <v>2447</v>
      </c>
      <c r="B23" s="89" t="str">
        <f t="shared" si="0"/>
        <v>wk2447</v>
      </c>
      <c r="C23" s="93">
        <f>SUMIFS(Runhours_Table[Productive Hours],Runhours_Table[Year-Week Number],MTBF_Intel16[[#This Row],[Week]],Runhours_Table[System],$A$1)</f>
        <v>0</v>
      </c>
      <c r="D23" s="93">
        <f>SUMIFS(Runhours_Table[Up Time],Runhours_Table[Year-Week Number],MTBF_Intel16[[#This Row],[Week]],Runhours_Table[System],$A$1)</f>
        <v>0</v>
      </c>
      <c r="E23" s="89">
        <f>COUNTIFS(Errorlog_table[System],$A$1,Errorlog_table[Year_Week_Number],MTBF_Intel16[[#This Row],[Week]],Errorlog_table[P_Hits],"Y",Errorlog_table[Reconciled],"Y")</f>
        <v>0</v>
      </c>
      <c r="F23" s="89">
        <f>COUNTIFS(Errorlog_table[System],$A$1,Errorlog_table[Year_Week_Number],MTBF_Intel16[[#This Row],[Week]],Errorlog_table[U_Hits],"Y",Errorlog_table[Reconciled],"Y")</f>
        <v>0</v>
      </c>
      <c r="G23" s="95">
        <f>IF(MTBF_Intel16[[#This Row],[P hits]]=0,MTBF_Intel16[[#This Row],[Productive time '[hrs']]],MTBF_Intel16[[#This Row],[Productive time '[hrs']]]/MTBF_Intel16[[#This Row],[P hits]])</f>
        <v>0</v>
      </c>
      <c r="H23" s="95">
        <f t="shared" si="1"/>
        <v>0</v>
      </c>
      <c r="I23" s="95">
        <f t="shared" si="3"/>
        <v>0</v>
      </c>
      <c r="J23" s="95">
        <f>IF(MTBF_Intel16[[#This Row],[U hits]]=0,MTBF_Intel16[[#This Row],[Uptime '[hrs']]],MTBF_Intel16[[#This Row],[Uptime '[hrs']]]/MTBF_Intel16[[#This Row],[U hits]])</f>
        <v>0</v>
      </c>
      <c r="K23" s="95">
        <f t="shared" si="2"/>
        <v>0</v>
      </c>
      <c r="L23" s="95">
        <f t="shared" si="4"/>
        <v>0</v>
      </c>
    </row>
    <row r="24" spans="1:12">
      <c r="A24" s="89">
        <v>2448</v>
      </c>
      <c r="B24" s="89" t="str">
        <f t="shared" si="0"/>
        <v>wk2448</v>
      </c>
      <c r="C24" s="93">
        <f>SUMIFS(Runhours_Table[Productive Hours],Runhours_Table[Year-Week Number],MTBF_Intel16[[#This Row],[Week]],Runhours_Table[System],$A$1)</f>
        <v>0</v>
      </c>
      <c r="D24" s="93">
        <f>SUMIFS(Runhours_Table[Up Time],Runhours_Table[Year-Week Number],MTBF_Intel16[[#This Row],[Week]],Runhours_Table[System],$A$1)</f>
        <v>0</v>
      </c>
      <c r="E24" s="89">
        <f>COUNTIFS(Errorlog_table[System],$A$1,Errorlog_table[Year_Week_Number],MTBF_Intel16[[#This Row],[Week]],Errorlog_table[P_Hits],"Y",Errorlog_table[Reconciled],"Y")</f>
        <v>0</v>
      </c>
      <c r="F24" s="89">
        <f>COUNTIFS(Errorlog_table[System],$A$1,Errorlog_table[Year_Week_Number],MTBF_Intel16[[#This Row],[Week]],Errorlog_table[U_Hits],"Y",Errorlog_table[Reconciled],"Y")</f>
        <v>0</v>
      </c>
      <c r="G24" s="95">
        <f>IF(MTBF_Intel16[[#This Row],[P hits]]=0,MTBF_Intel16[[#This Row],[Productive time '[hrs']]],MTBF_Intel16[[#This Row],[Productive time '[hrs']]]/MTBF_Intel16[[#This Row],[P hits]])</f>
        <v>0</v>
      </c>
      <c r="H24" s="95">
        <f t="shared" si="1"/>
        <v>0</v>
      </c>
      <c r="I24" s="95">
        <f t="shared" si="3"/>
        <v>0</v>
      </c>
      <c r="J24" s="95">
        <f>IF(MTBF_Intel16[[#This Row],[U hits]]=0,MTBF_Intel16[[#This Row],[Uptime '[hrs']]],MTBF_Intel16[[#This Row],[Uptime '[hrs']]]/MTBF_Intel16[[#This Row],[U hits]])</f>
        <v>0</v>
      </c>
      <c r="K24" s="95">
        <f t="shared" si="2"/>
        <v>0</v>
      </c>
      <c r="L24" s="95">
        <f t="shared" si="4"/>
        <v>0</v>
      </c>
    </row>
    <row r="25" spans="1:12">
      <c r="A25" s="89">
        <v>2449</v>
      </c>
      <c r="B25" s="89" t="str">
        <f t="shared" si="0"/>
        <v>wk2449</v>
      </c>
      <c r="C25" s="93">
        <f>SUMIFS(Runhours_Table[Productive Hours],Runhours_Table[Year-Week Number],MTBF_Intel16[[#This Row],[Week]],Runhours_Table[System],$A$1)</f>
        <v>0</v>
      </c>
      <c r="D25" s="93">
        <f>SUMIFS(Runhours_Table[Up Time],Runhours_Table[Year-Week Number],MTBF_Intel16[[#This Row],[Week]],Runhours_Table[System],$A$1)</f>
        <v>0</v>
      </c>
      <c r="E25" s="89">
        <f>COUNTIFS(Errorlog_table[System],$A$1,Errorlog_table[Year_Week_Number],MTBF_Intel16[[#This Row],[Week]],Errorlog_table[P_Hits],"Y",Errorlog_table[Reconciled],"Y")</f>
        <v>0</v>
      </c>
      <c r="F25" s="89">
        <f>COUNTIFS(Errorlog_table[System],$A$1,Errorlog_table[Year_Week_Number],MTBF_Intel16[[#This Row],[Week]],Errorlog_table[U_Hits],"Y",Errorlog_table[Reconciled],"Y")</f>
        <v>0</v>
      </c>
      <c r="G25" s="95">
        <f>IF(MTBF_Intel16[[#This Row],[P hits]]=0,MTBF_Intel16[[#This Row],[Productive time '[hrs']]],MTBF_Intel16[[#This Row],[Productive time '[hrs']]]/MTBF_Intel16[[#This Row],[P hits]])</f>
        <v>0</v>
      </c>
      <c r="H25" s="95">
        <f t="shared" si="1"/>
        <v>0</v>
      </c>
      <c r="I25" s="95">
        <f t="shared" si="3"/>
        <v>0</v>
      </c>
      <c r="J25" s="95">
        <f>IF(MTBF_Intel16[[#This Row],[U hits]]=0,MTBF_Intel16[[#This Row],[Uptime '[hrs']]],MTBF_Intel16[[#This Row],[Uptime '[hrs']]]/MTBF_Intel16[[#This Row],[U hits]])</f>
        <v>0</v>
      </c>
      <c r="K25" s="95">
        <f t="shared" si="2"/>
        <v>0</v>
      </c>
      <c r="L25" s="95">
        <f t="shared" si="4"/>
        <v>0</v>
      </c>
    </row>
    <row r="26" spans="1:12">
      <c r="A26" s="89">
        <v>2450</v>
      </c>
      <c r="B26" s="89" t="str">
        <f t="shared" si="0"/>
        <v>wk2450</v>
      </c>
      <c r="C26" s="93">
        <f>SUMIFS(Runhours_Table[Productive Hours],Runhours_Table[Year-Week Number],MTBF_Intel16[[#This Row],[Week]],Runhours_Table[System],$A$1)</f>
        <v>0</v>
      </c>
      <c r="D26" s="93">
        <f>SUMIFS(Runhours_Table[Up Time],Runhours_Table[Year-Week Number],MTBF_Intel16[[#This Row],[Week]],Runhours_Table[System],$A$1)</f>
        <v>0</v>
      </c>
      <c r="E26" s="89">
        <f>COUNTIFS(Errorlog_table[System],$A$1,Errorlog_table[Year_Week_Number],MTBF_Intel16[[#This Row],[Week]],Errorlog_table[P_Hits],"Y",Errorlog_table[Reconciled],"Y")</f>
        <v>0</v>
      </c>
      <c r="F26" s="89">
        <f>COUNTIFS(Errorlog_table[System],$A$1,Errorlog_table[Year_Week_Number],MTBF_Intel16[[#This Row],[Week]],Errorlog_table[U_Hits],"Y",Errorlog_table[Reconciled],"Y")</f>
        <v>0</v>
      </c>
      <c r="G26" s="93">
        <f>IF(MTBF_Intel16[[#This Row],[P hits]]=0,MTBF_Intel16[[#This Row],[Productive time '[hrs']]],MTBF_Intel16[[#This Row],[Productive time '[hrs']]]/MTBF_Intel16[[#This Row],[P hits]])</f>
        <v>0</v>
      </c>
      <c r="H26" s="95">
        <f>IF(SUM(E23:E26)=0,SUM(C23:C26),SUM(C23:C26)/SUM(E23:E26))</f>
        <v>0</v>
      </c>
      <c r="I26" s="95">
        <f t="shared" si="3"/>
        <v>0</v>
      </c>
      <c r="J26" s="95">
        <f>IF(MTBF_Intel16[[#This Row],[U hits]]=0,MTBF_Intel16[[#This Row],[Uptime '[hrs']]],MTBF_Intel16[[#This Row],[Uptime '[hrs']]]/MTBF_Intel16[[#This Row],[U hits]])</f>
        <v>0</v>
      </c>
      <c r="K26" s="93">
        <f>IF(SUM(F23:F26)=0,SUM(D23:D26),SUM(D23:D26)/SUM(F23:F26))</f>
        <v>0</v>
      </c>
      <c r="L26" s="95">
        <f>IF(SUM(F14:F26)=0,SUM(D14:D26),SUM(D14:D26)/SUM(F14:F26))</f>
        <v>0</v>
      </c>
    </row>
    <row r="27" spans="1:12">
      <c r="A27" s="89">
        <v>2451</v>
      </c>
      <c r="B27" s="89" t="str">
        <f t="shared" si="0"/>
        <v>wk2451</v>
      </c>
      <c r="C27" s="93">
        <f>SUMIFS(Runhours_Table[Productive Hours],Runhours_Table[Year-Week Number],MTBF_Intel16[[#This Row],[Week]],Runhours_Table[System],$A$1)</f>
        <v>0</v>
      </c>
      <c r="D27" s="93">
        <f>SUMIFS(Runhours_Table[Up Time],Runhours_Table[Year-Week Number],MTBF_Intel16[[#This Row],[Week]],Runhours_Table[System],$A$1)</f>
        <v>0</v>
      </c>
      <c r="E27" s="89">
        <f>COUNTIFS(Errorlog_table[System],$A$1,Errorlog_table[Year_Week_Number],MTBF_Intel16[[#This Row],[Week]],Errorlog_table[P_Hits],"Y",Errorlog_table[Reconciled],"Y")</f>
        <v>0</v>
      </c>
      <c r="F27" s="89">
        <f>COUNTIFS(Errorlog_table[System],$A$1,Errorlog_table[Year_Week_Number],MTBF_Intel16[[#This Row],[Week]],Errorlog_table[U_Hits],"Y",Errorlog_table[Reconciled],"Y")</f>
        <v>0</v>
      </c>
      <c r="G27" s="93">
        <f>IF(MTBF_Intel16[[#This Row],[P hits]]=0,MTBF_Intel16[[#This Row],[Productive time '[hrs']]],MTBF_Intel16[[#This Row],[Productive time '[hrs']]]/MTBF_Intel16[[#This Row],[P hits]])</f>
        <v>0</v>
      </c>
      <c r="H27" s="95">
        <f>IF(SUM(E24:E27)=0,SUM(C24:C27),SUM(C24:C27)/SUM(E24:E27))</f>
        <v>0</v>
      </c>
      <c r="I27" s="95">
        <f>IF(SUM(E15:E27)=0,SUM(C15:C27),SUM(C15:C27)/SUM(E15:E27))</f>
        <v>0</v>
      </c>
      <c r="J27" s="95">
        <f>IF(MTBF_Intel16[[#This Row],[U hits]]=0,MTBF_Intel16[[#This Row],[Uptime '[hrs']]],MTBF_Intel16[[#This Row],[Uptime '[hrs']]]/MTBF_Intel16[[#This Row],[U hits]])</f>
        <v>0</v>
      </c>
      <c r="K27" s="93">
        <f>IF(SUM(F24:F27)=0,SUM(D24:D27),SUM(D24:D27)/SUM(F24:F27))</f>
        <v>0</v>
      </c>
      <c r="L27" s="95">
        <f>IF(SUM(F15:F27)=0,SUM(D15:D27),SUM(D15:D27)/SUM(F15:F27))</f>
        <v>0</v>
      </c>
    </row>
    <row r="28" spans="1:12">
      <c r="A28" s="89">
        <v>2452</v>
      </c>
      <c r="B28" s="89" t="str">
        <f t="shared" si="0"/>
        <v>wk2452</v>
      </c>
      <c r="C28" s="93">
        <f>SUMIFS(Runhours_Table[Productive Hours],Runhours_Table[Year-Week Number],MTBF_Intel16[[#This Row],[Week]],Runhours_Table[System],$A$1)</f>
        <v>0</v>
      </c>
      <c r="D28" s="93">
        <f>SUMIFS(Runhours_Table[Up Time],Runhours_Table[Year-Week Number],MTBF_Intel16[[#This Row],[Week]],Runhours_Table[System],$A$1)</f>
        <v>0</v>
      </c>
      <c r="E28" s="89">
        <f>COUNTIFS(Errorlog_table[System],$A$1,Errorlog_table[Year_Week_Number],MTBF_Intel16[[#This Row],[Week]],Errorlog_table[P_Hits],"Y",Errorlog_table[Reconciled],"Y")</f>
        <v>0</v>
      </c>
      <c r="F28" s="89">
        <f>COUNTIFS(Errorlog_table[System],$A$1,Errorlog_table[Year_Week_Number],MTBF_Intel16[[#This Row],[Week]],Errorlog_table[U_Hits],"Y",Errorlog_table[Reconciled],"Y")</f>
        <v>0</v>
      </c>
      <c r="G28" s="93">
        <f>IF(MTBF_Intel16[[#This Row],[P hits]]=0,MTBF_Intel16[[#This Row],[Productive time '[hrs']]],MTBF_Intel16[[#This Row],[Productive time '[hrs']]]/MTBF_Intel16[[#This Row],[P hits]])</f>
        <v>0</v>
      </c>
      <c r="H28" s="95">
        <f>IF(SUM(E25:E28)=0,SUM(C25:C28),SUM(C25:C28)/SUM(E25:E28))</f>
        <v>0</v>
      </c>
      <c r="I28" s="95">
        <f>IF(SUM(E16:E28)=0,SUM(C16:C28),SUM(C16:C28)/SUM(E16:E28))</f>
        <v>0</v>
      </c>
      <c r="J28" s="95">
        <f>IF(MTBF_Intel16[[#This Row],[U hits]]=0,MTBF_Intel16[[#This Row],[Uptime '[hrs']]],MTBF_Intel16[[#This Row],[Uptime '[hrs']]]/MTBF_Intel16[[#This Row],[U hits]])</f>
        <v>0</v>
      </c>
      <c r="K28" s="93">
        <f>IF(SUM(F25:F28)=0,SUM(D25:D28),SUM(D25:D28)/SUM(F25:F28))</f>
        <v>0</v>
      </c>
      <c r="L28" s="95">
        <f>IF(SUM(F16:F28)=0,SUM(D16:D28),SUM(D16:D28)/SUM(F16:F28))</f>
        <v>0</v>
      </c>
    </row>
    <row r="29" spans="1:12">
      <c r="A29" s="89">
        <v>2501</v>
      </c>
      <c r="B29" s="89" t="str">
        <f t="shared" si="0"/>
        <v>wk2501</v>
      </c>
      <c r="C29" s="93">
        <f>SUMIFS(Runhours_Table[Productive Hours],Runhours_Table[Year-Week Number],MTBF_Intel16[[#This Row],[Week]],Runhours_Table[System],$A$1)</f>
        <v>0</v>
      </c>
      <c r="D29" s="93">
        <f>SUMIFS(Runhours_Table[Up Time],Runhours_Table[Year-Week Number],MTBF_Intel16[[#This Row],[Week]],Runhours_Table[System],$A$1)</f>
        <v>0</v>
      </c>
      <c r="E29" s="89">
        <f>COUNTIFS(Errorlog_table[System],$A$1,Errorlog_table[Year_Week_Number],MTBF_Intel16[[#This Row],[Week]],Errorlog_table[P_Hits],"Y",Errorlog_table[Reconciled],"Y")</f>
        <v>0</v>
      </c>
      <c r="F29" s="89">
        <f>COUNTIFS(Errorlog_table[System],$A$1,Errorlog_table[Year_Week_Number],MTBF_Intel16[[#This Row],[Week]],Errorlog_table[U_Hits],"Y",Errorlog_table[Reconciled],"Y")</f>
        <v>0</v>
      </c>
      <c r="G29" s="93">
        <f>IF(MTBF_Intel16[[#This Row],[P hits]]=0,MTBF_Intel16[[#This Row],[Productive time '[hrs']]],MTBF_Intel16[[#This Row],[Productive time '[hrs']]]/MTBF_Intel16[[#This Row],[P hits]])</f>
        <v>0</v>
      </c>
      <c r="H29" s="95">
        <f>IF(SUM(E26:E29)=0,SUM(C26:C29),SUM(C26:C29)/SUM(E26:E29))</f>
        <v>0</v>
      </c>
      <c r="I29" s="95">
        <f>IF(SUM(E17:E29)=0,SUM(C17:C29),SUM(C17:C29)/SUM(E17:E29))</f>
        <v>0</v>
      </c>
      <c r="J29" s="95">
        <f>IF(MTBF_Intel16[[#This Row],[U hits]]=0,MTBF_Intel16[[#This Row],[Uptime '[hrs']]],MTBF_Intel16[[#This Row],[Uptime '[hrs']]]/MTBF_Intel16[[#This Row],[U hits]])</f>
        <v>0</v>
      </c>
      <c r="K29" s="93">
        <f>IF(SUM(F26:F29)=0,SUM(D26:D29),SUM(D26:D29)/SUM(F26:F29))</f>
        <v>0</v>
      </c>
      <c r="L29" s="95">
        <f>IF(SUM(F17:F29)=0,SUM(D17:D29),SUM(D17:D29)/SUM(F17:F29))</f>
        <v>0</v>
      </c>
    </row>
    <row r="30" spans="1:12">
      <c r="A30" s="89">
        <v>2502</v>
      </c>
      <c r="B30" s="89" t="str">
        <f>"wk"&amp;A30</f>
        <v>wk2502</v>
      </c>
      <c r="C30" s="93">
        <f>SUMIFS(Runhours_Table[Productive Hours],Runhours_Table[Year-Week Number],MTBF_Intel16[[#This Row],[Week]],Runhours_Table[System],$A$1)</f>
        <v>0</v>
      </c>
      <c r="D30" s="93">
        <f>SUMIFS(Runhours_Table[Up Time],Runhours_Table[Year-Week Number],MTBF_Intel16[[#This Row],[Week]],Runhours_Table[System],$A$1)</f>
        <v>0</v>
      </c>
      <c r="E30" s="89">
        <f>COUNTIFS(Errorlog_table[System],$A$1,Errorlog_table[Year_Week_Number],MTBF_Intel16[[#This Row],[Week]],Errorlog_table[P_Hits],"Y",Errorlog_table[Reconciled],"Y")</f>
        <v>0</v>
      </c>
      <c r="F30" s="89">
        <f>COUNTIFS(Errorlog_table[System],$A$1,Errorlog_table[Year_Week_Number],MTBF_Intel16[[#This Row],[Week]],Errorlog_table[U_Hits],"Y",Errorlog_table[Reconciled],"Y")</f>
        <v>0</v>
      </c>
      <c r="G30" s="93">
        <f>IF(MTBF_Intel16[[#This Row],[P hits]]=0,MTBF_Intel16[[#This Row],[Productive time '[hrs']]],MTBF_Intel16[[#This Row],[Productive time '[hrs']]]/MTBF_Intel16[[#This Row],[P hits]])</f>
        <v>0</v>
      </c>
      <c r="H30" s="95">
        <f>IF(SUM(E27:E30)=0,SUM(C27:C30),SUM(C27:C30)/SUM(E27:E30))</f>
        <v>0</v>
      </c>
      <c r="I30" s="95">
        <f>IF(SUM(E18:E30)=0,SUM(C18:C30),SUM(C18:C30)/SUM(E18:E30))</f>
        <v>0</v>
      </c>
      <c r="J30" s="95">
        <f>IF(MTBF_Intel16[[#This Row],[U hits]]=0,MTBF_Intel16[[#This Row],[Uptime '[hrs']]],MTBF_Intel16[[#This Row],[Uptime '[hrs']]]/MTBF_Intel16[[#This Row],[U hits]])</f>
        <v>0</v>
      </c>
      <c r="K30" s="93">
        <f>IF(SUM(F27:F30)=0,SUM(D27:D30),SUM(D27:D30)/SUM(F27:F30))</f>
        <v>0</v>
      </c>
      <c r="L30" s="95">
        <f>IF(SUM(F18:F30)=0,SUM(D18:D30),SUM(D18:D30)/SUM(F18:F30))</f>
        <v>0</v>
      </c>
    </row>
  </sheetData>
  <dataValidations count="1">
    <dataValidation type="list" allowBlank="1" showInputMessage="1" showErrorMessage="1" sqref="B2" xr:uid="{DD6FD64C-AFB4-4218-844E-706C1CA52661}">
      <formula1>INDIRECT("MTBF_Intel[Week]")</formula1>
    </dataValidation>
  </dataValidations>
  <pageMargins left="0.7" right="0.7" top="0.75" bottom="0.75" header="0.3" footer="0.3"/>
  <drawing r:id="rId1"/>
  <tableParts count="1">
    <tablePart r:id="rId2"/>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88E05-1E4F-4272-A6B9-7BF5C652B1C6}">
  <sheetPr codeName="Sheet16"/>
  <dimension ref="A1:AF28"/>
  <sheetViews>
    <sheetView workbookViewId="0">
      <selection activeCell="J29" sqref="J29"/>
    </sheetView>
  </sheetViews>
  <sheetFormatPr defaultRowHeight="15"/>
  <cols>
    <col min="1" max="1" width="6.5703125" customWidth="1"/>
    <col min="18" max="18" width="15.42578125" customWidth="1"/>
    <col min="19" max="19" width="2.42578125" customWidth="1"/>
    <col min="20" max="20" width="10" customWidth="1"/>
    <col min="25" max="25" width="2.140625" customWidth="1"/>
    <col min="26" max="26" width="9.85546875" customWidth="1"/>
    <col min="30" max="30" width="2.140625" customWidth="1"/>
    <col min="31" max="31" width="11.42578125" customWidth="1"/>
  </cols>
  <sheetData>
    <row r="1" spans="1:32">
      <c r="B1" t="s">
        <v>5</v>
      </c>
      <c r="H1" t="s">
        <v>1187</v>
      </c>
      <c r="N1" t="s">
        <v>13</v>
      </c>
      <c r="T1" t="s">
        <v>1188</v>
      </c>
      <c r="Z1" t="s">
        <v>1189</v>
      </c>
      <c r="AE1" t="s">
        <v>1190</v>
      </c>
      <c r="AF1" t="s">
        <v>1191</v>
      </c>
    </row>
    <row r="2" spans="1:32">
      <c r="B2" t="s">
        <v>1192</v>
      </c>
      <c r="C2" t="s">
        <v>1191</v>
      </c>
      <c r="D2" t="s">
        <v>1193</v>
      </c>
      <c r="E2" t="s">
        <v>963</v>
      </c>
      <c r="F2" t="s">
        <v>1194</v>
      </c>
      <c r="H2" t="s">
        <v>1192</v>
      </c>
      <c r="I2" t="s">
        <v>1191</v>
      </c>
      <c r="J2" t="s">
        <v>1193</v>
      </c>
      <c r="K2" t="s">
        <v>963</v>
      </c>
      <c r="N2" t="s">
        <v>1192</v>
      </c>
      <c r="O2" t="s">
        <v>1191</v>
      </c>
      <c r="P2" t="s">
        <v>1193</v>
      </c>
      <c r="Q2" t="s">
        <v>963</v>
      </c>
      <c r="U2" t="s">
        <v>5</v>
      </c>
      <c r="V2" t="s">
        <v>1187</v>
      </c>
      <c r="W2" t="s">
        <v>13</v>
      </c>
      <c r="X2" t="s">
        <v>82</v>
      </c>
      <c r="Z2" t="s">
        <v>5</v>
      </c>
      <c r="AA2" t="s">
        <v>1187</v>
      </c>
      <c r="AB2" t="s">
        <v>13</v>
      </c>
      <c r="AC2" t="s">
        <v>82</v>
      </c>
    </row>
    <row r="3" spans="1:32">
      <c r="A3">
        <v>2430</v>
      </c>
      <c r="T3" t="s">
        <v>1195</v>
      </c>
      <c r="U3" s="34">
        <f>SUMIF(B:B,T3,D:D)</f>
        <v>0</v>
      </c>
      <c r="V3" s="34">
        <f ca="1">SUMIF(H:H,T3,J:J)</f>
        <v>0</v>
      </c>
      <c r="W3" s="34">
        <f>SUMIF(N:N,T3,P:P)</f>
        <v>0</v>
      </c>
      <c r="X3" s="34">
        <f ca="1">SUM(U3:W3)</f>
        <v>0</v>
      </c>
      <c r="Z3">
        <f>SUMIF(B:B,T3,E:E)</f>
        <v>0</v>
      </c>
      <c r="AA3">
        <f>SUMIF(H:H,T3,K:K)</f>
        <v>0</v>
      </c>
      <c r="AB3">
        <f>SUMIF(N:N,T3,Q:Q)</f>
        <v>0</v>
      </c>
      <c r="AC3">
        <f>SUM(Z3:AB3)</f>
        <v>0</v>
      </c>
      <c r="AE3" s="35" t="str">
        <f ca="1">IFERROR(X3/AC3,"no runhours")</f>
        <v>no runhours</v>
      </c>
      <c r="AF3">
        <v>26</v>
      </c>
    </row>
    <row r="4" spans="1:32">
      <c r="A4">
        <v>2431</v>
      </c>
      <c r="S4" t="s">
        <v>1196</v>
      </c>
    </row>
    <row r="5" spans="1:32">
      <c r="A5">
        <v>2432</v>
      </c>
      <c r="T5" s="49" t="s">
        <v>1197</v>
      </c>
      <c r="U5" s="156">
        <f ca="1">SUM(U6:U7)</f>
        <v>0</v>
      </c>
      <c r="V5" s="156">
        <f ca="1">SUM(V6:V7)</f>
        <v>0</v>
      </c>
      <c r="W5" s="156">
        <f ca="1">SUM(W6:W7)</f>
        <v>0</v>
      </c>
      <c r="X5" s="156">
        <f ca="1">SUM(X6:X7)</f>
        <v>0</v>
      </c>
      <c r="Y5" s="155"/>
      <c r="Z5" s="156">
        <f>SUM(Z6:Z7)</f>
        <v>0</v>
      </c>
      <c r="AA5" s="156">
        <f>SUM(AA6:AA7)</f>
        <v>0</v>
      </c>
      <c r="AB5" s="156">
        <f>SUM(AB6:AB7)</f>
        <v>0</v>
      </c>
      <c r="AC5" s="156">
        <f>SUM(AC6:AC7)</f>
        <v>0</v>
      </c>
      <c r="AD5" s="155"/>
      <c r="AE5" s="157" t="str">
        <f ca="1">IFERROR(X5/AC5,"no runhours")</f>
        <v>no runhours</v>
      </c>
      <c r="AF5" s="155">
        <v>31.6</v>
      </c>
    </row>
    <row r="6" spans="1:32">
      <c r="A6">
        <v>2433</v>
      </c>
      <c r="T6" s="154" t="s">
        <v>1198</v>
      </c>
      <c r="U6" s="34">
        <f ca="1">SUMIF(B:B,T6,D:D)</f>
        <v>0</v>
      </c>
      <c r="V6" s="34">
        <f>SUMIF(H:H,T6,J:J)</f>
        <v>0</v>
      </c>
      <c r="W6" s="34">
        <f ca="1">SUMIF(N:N,T6,P:P)</f>
        <v>0</v>
      </c>
      <c r="X6" s="34">
        <f ca="1">SUM(U6:W6)</f>
        <v>0</v>
      </c>
      <c r="Z6">
        <f>SUMIF(B:B,T6,E:E)</f>
        <v>0</v>
      </c>
      <c r="AA6">
        <f>SUMIF(H:H,T6,K:K)</f>
        <v>0</v>
      </c>
      <c r="AB6">
        <f>SUMIF(N:N,T6,Q:Q)</f>
        <v>0</v>
      </c>
      <c r="AC6">
        <f>SUM(Z6:AB6)</f>
        <v>0</v>
      </c>
      <c r="AE6" s="35" t="str">
        <f ca="1">IFERROR(X6/AC6,"no runhours")</f>
        <v>no runhours</v>
      </c>
      <c r="AF6">
        <v>27.4</v>
      </c>
    </row>
    <row r="7" spans="1:32">
      <c r="A7">
        <v>2434</v>
      </c>
      <c r="T7" s="154" t="s">
        <v>1199</v>
      </c>
      <c r="U7" s="34">
        <f ca="1">SUMIF(B:B,T7,D:D)</f>
        <v>0</v>
      </c>
      <c r="V7" s="34">
        <f ca="1">SUMIF(H:H,T7,J:J)</f>
        <v>0</v>
      </c>
      <c r="W7" s="34">
        <f ca="1">SUMIF(N:N,T7,P:P)</f>
        <v>0</v>
      </c>
      <c r="X7" s="34">
        <f ca="1">SUM(U7:W7)</f>
        <v>0</v>
      </c>
      <c r="Z7">
        <f>SUMIF(B:B,T7,E:E)</f>
        <v>0</v>
      </c>
      <c r="AA7">
        <f>SUMIF(H:H,T7,K:K)</f>
        <v>0</v>
      </c>
      <c r="AB7">
        <f>SUMIF(N:N,T7,Q:Q)</f>
        <v>0</v>
      </c>
      <c r="AC7">
        <f>SUM(Z7:AB7)</f>
        <v>0</v>
      </c>
      <c r="AE7" s="35" t="str">
        <f ca="1">IFERROR(X7/AC7,"no runhours")</f>
        <v>no runhours</v>
      </c>
      <c r="AF7">
        <v>31.6</v>
      </c>
    </row>
    <row r="8" spans="1:32">
      <c r="A8">
        <v>2435</v>
      </c>
      <c r="T8" s="154"/>
      <c r="U8" s="34"/>
      <c r="V8" s="34"/>
      <c r="W8" s="34"/>
      <c r="X8" s="34"/>
      <c r="AE8" s="35"/>
    </row>
    <row r="9" spans="1:32">
      <c r="A9">
        <v>2436</v>
      </c>
      <c r="T9" s="49" t="s">
        <v>1200</v>
      </c>
      <c r="U9" s="156">
        <f ca="1">SUM(U10:U12)</f>
        <v>31.799999999999997</v>
      </c>
      <c r="V9" s="156">
        <f ca="1">SUM(V10:V12)</f>
        <v>0</v>
      </c>
      <c r="W9" s="156">
        <f>SUM(W10:W12)</f>
        <v>0</v>
      </c>
      <c r="X9" s="156">
        <f ca="1">SUM(X10:X12)</f>
        <v>31.799999999999997</v>
      </c>
      <c r="Y9" s="155"/>
      <c r="Z9" s="155">
        <f>SUM(Z10:Z12)</f>
        <v>0</v>
      </c>
      <c r="AA9" s="155">
        <f>SUM(AA10:AA12)</f>
        <v>0</v>
      </c>
      <c r="AB9" s="155">
        <f>SUM(AB10:AB12)</f>
        <v>0</v>
      </c>
      <c r="AC9" s="155">
        <f>SUM(AC10:AC12)</f>
        <v>0</v>
      </c>
      <c r="AD9" s="155"/>
      <c r="AE9" s="157" t="str">
        <f ca="1">IFERROR(X9/AC9,"no runhours")</f>
        <v>no runhours</v>
      </c>
      <c r="AF9" s="155">
        <v>34.9</v>
      </c>
    </row>
    <row r="10" spans="1:32">
      <c r="A10">
        <v>2437</v>
      </c>
      <c r="T10" s="154" t="s">
        <v>1201</v>
      </c>
      <c r="U10" s="34">
        <f ca="1">SUMIF(B:B,T10,D:D)</f>
        <v>10.299999999999999</v>
      </c>
      <c r="V10" s="34">
        <f>SUMIF(H:H,T10,J:J)</f>
        <v>0</v>
      </c>
      <c r="W10" s="34">
        <f>SUMIF(N:N,T10,P:P)</f>
        <v>0</v>
      </c>
      <c r="X10" s="34">
        <f ca="1">SUM(U10:W10)</f>
        <v>10.299999999999999</v>
      </c>
      <c r="Z10">
        <f>SUMIF(B:B,T10,E:E)</f>
        <v>0</v>
      </c>
      <c r="AA10">
        <f>SUMIF(H:H,T10,K:K)</f>
        <v>0</v>
      </c>
      <c r="AB10">
        <f>SUMIF(N:N,T10,Q:Q)</f>
        <v>0</v>
      </c>
      <c r="AC10">
        <f>SUM(Z10:AB10)</f>
        <v>0</v>
      </c>
      <c r="AE10" s="35" t="str">
        <f ca="1">IFERROR(X10/AC10,"no runhours")</f>
        <v>no runhours</v>
      </c>
      <c r="AF10">
        <v>31.6</v>
      </c>
    </row>
    <row r="11" spans="1:32">
      <c r="A11">
        <v>2438</v>
      </c>
      <c r="S11" t="s">
        <v>1196</v>
      </c>
      <c r="T11" s="154" t="s">
        <v>1202</v>
      </c>
      <c r="U11" s="34">
        <f ca="1">SUMIF(B:B,T11,D:D)</f>
        <v>21.5</v>
      </c>
      <c r="V11" s="34">
        <f ca="1">SUMIF(H:H,T11,J:J)</f>
        <v>0</v>
      </c>
      <c r="W11" s="34">
        <f>SUMIF(N:N,T11,P:P)</f>
        <v>0</v>
      </c>
      <c r="X11" s="34">
        <f ca="1">SUM(U11:W11)</f>
        <v>21.5</v>
      </c>
      <c r="Z11">
        <f>SUMIF(B:B,T11,E:E)</f>
        <v>0</v>
      </c>
      <c r="AA11">
        <f>SUMIF(H:H,T11,K:K)</f>
        <v>0</v>
      </c>
      <c r="AB11">
        <f>SUMIF(N:N,T11,Q:Q)</f>
        <v>0</v>
      </c>
      <c r="AC11">
        <f>SUM(Z11:AB11)</f>
        <v>0</v>
      </c>
      <c r="AE11" s="35" t="str">
        <f ca="1">IFERROR(X11/AC11,"no runhours")</f>
        <v>no runhours</v>
      </c>
      <c r="AF11">
        <v>34.299999999999997</v>
      </c>
    </row>
    <row r="12" spans="1:32">
      <c r="A12">
        <v>2439</v>
      </c>
      <c r="T12" s="154" t="s">
        <v>1203</v>
      </c>
      <c r="U12" s="34">
        <f>SUMIF(B:B,T12,D:D)</f>
        <v>0</v>
      </c>
      <c r="V12" s="34">
        <f>SUMIF(H:H,T12,J:J)</f>
        <v>0</v>
      </c>
      <c r="W12" s="34">
        <f>SUMIF(N:N,T12,P:P)</f>
        <v>0</v>
      </c>
      <c r="X12" s="34">
        <f>SUM(U12:W12)</f>
        <v>0</v>
      </c>
      <c r="Z12">
        <f>SUMIF(B:B,T12,E:E)</f>
        <v>0</v>
      </c>
      <c r="AA12">
        <f>SUMIF(H:H,T12,K:K)</f>
        <v>0</v>
      </c>
      <c r="AB12">
        <f>SUMIF(N:N,T12,Q:Q)</f>
        <v>0</v>
      </c>
      <c r="AC12">
        <f>SUM(Z12:AB12)</f>
        <v>0</v>
      </c>
      <c r="AE12" s="35" t="str">
        <f>IFERROR(X12/AC12,"no runhours")</f>
        <v>no runhours</v>
      </c>
      <c r="AF12">
        <v>34.9</v>
      </c>
    </row>
    <row r="13" spans="1:32">
      <c r="A13">
        <v>2440</v>
      </c>
      <c r="B13" t="s">
        <v>1198</v>
      </c>
      <c r="C13">
        <f t="shared" ref="C13:C27" si="0">_xlfn.XLOOKUP($B13,$T:$T,$AF:$AF)</f>
        <v>27.4</v>
      </c>
      <c r="D13" s="34">
        <f ca="1">SUMIFS('Daily Run Hours'!$G:$G,'Daily Run Hours'!$B:$B,$B$1,'Daily Run Hours'!$F:$F,$A13)</f>
        <v>0</v>
      </c>
      <c r="E13">
        <f>COUNTIFS(Error_Log!$B:$B,$B$1,Error_Log!$F:$F,$A13,Error_Log!$V:$V,"Y")</f>
        <v>0</v>
      </c>
      <c r="H13" t="s">
        <v>1195</v>
      </c>
      <c r="I13">
        <f t="shared" ref="I13:I27" si="1">_xlfn.XLOOKUP($H13,$T:$T,$AF:$AF)</f>
        <v>26</v>
      </c>
      <c r="J13" s="34">
        <f ca="1">SUMIFS('Daily Run Hours'!$G:$G,'Daily Run Hours'!$B:$B,$H$1,'Daily Run Hours'!$F:$F,$A13)</f>
        <v>0</v>
      </c>
      <c r="K13">
        <f>COUNTIFS(Error_Log!$B:$B,$H$1,Error_Log!$F:$F,$A13,Error_Log!$V:$V,"Y")</f>
        <v>0</v>
      </c>
      <c r="N13" t="s">
        <v>1198</v>
      </c>
      <c r="O13">
        <f t="shared" ref="O13:O27" si="2">_xlfn.XLOOKUP($N13,$T:$T,$AF:$AF)</f>
        <v>27.4</v>
      </c>
      <c r="P13" s="34">
        <f ca="1">SUMIFS('Daily Run Hours'!$G:$G,'Daily Run Hours'!$B:$B,$N$1,'Daily Run Hours'!$F:$F,$A13)</f>
        <v>0</v>
      </c>
      <c r="Q13">
        <f>COUNTIFS(Error_Log!$B:$B,$N$1,Error_Log!$F:$F,$A13,Error_Log!$V:$V,"Y")</f>
        <v>0</v>
      </c>
      <c r="T13" s="154" t="s">
        <v>1196</v>
      </c>
      <c r="U13" s="34"/>
      <c r="V13" s="34"/>
      <c r="W13" s="34"/>
      <c r="X13" s="34"/>
      <c r="AE13" s="35"/>
    </row>
    <row r="14" spans="1:32">
      <c r="A14">
        <v>2441</v>
      </c>
      <c r="B14" t="s">
        <v>1198</v>
      </c>
      <c r="C14">
        <f t="shared" si="0"/>
        <v>27.4</v>
      </c>
      <c r="D14" s="34">
        <f ca="1">SUMIFS('Daily Run Hours'!$G:$G,'Daily Run Hours'!$B:$B,$B$1,'Daily Run Hours'!F:F,$A14)</f>
        <v>0</v>
      </c>
      <c r="E14">
        <f>COUNTIFS(Error_Log!$B:$B,$B$1,Error_Log!$F:$F,$A14,Error_Log!$V:$V,"Y")</f>
        <v>0</v>
      </c>
      <c r="F14" t="s">
        <v>1204</v>
      </c>
      <c r="H14" t="s">
        <v>1195</v>
      </c>
      <c r="I14">
        <f t="shared" si="1"/>
        <v>26</v>
      </c>
      <c r="J14" s="34">
        <f ca="1">SUMIFS('Daily Run Hours'!$G:$G,'Daily Run Hours'!$B:$B,$H$1,'Daily Run Hours'!$F:$F,$A14)</f>
        <v>0</v>
      </c>
      <c r="K14">
        <f>COUNTIFS(Error_Log!$B:$B,$H$1,Error_Log!$F:$F,$A14,Error_Log!$V:$V,"Y")</f>
        <v>0</v>
      </c>
      <c r="L14" t="s">
        <v>1205</v>
      </c>
      <c r="N14" t="s">
        <v>1198</v>
      </c>
      <c r="O14">
        <f t="shared" si="2"/>
        <v>27.4</v>
      </c>
      <c r="P14" s="34">
        <f ca="1">SUMIFS('Daily Run Hours'!$G:$G,'Daily Run Hours'!$B:$B,$N$1,'Daily Run Hours'!$F:$F,$A14)</f>
        <v>0</v>
      </c>
      <c r="Q14">
        <f>COUNTIFS(Error_Log!$B:$B,$N$1,Error_Log!$F:$F,$A14,Error_Log!$V:$V,"Y")</f>
        <v>0</v>
      </c>
      <c r="R14" t="s">
        <v>1206</v>
      </c>
      <c r="T14" s="155" t="s">
        <v>1207</v>
      </c>
      <c r="U14" s="156">
        <f ca="1">SUM(U15:U17)</f>
        <v>68.5</v>
      </c>
      <c r="V14" s="156">
        <f>SUM(V15:V17)</f>
        <v>0</v>
      </c>
      <c r="W14" s="156">
        <f ca="1">SUM(W15:W17)</f>
        <v>0</v>
      </c>
      <c r="X14" s="156">
        <f ca="1">SUM(X15:X17)</f>
        <v>68.5</v>
      </c>
      <c r="Y14" s="12"/>
      <c r="Z14" s="156">
        <f>SUM(Z15:Z17)</f>
        <v>0</v>
      </c>
      <c r="AA14" s="156">
        <f>SUM(AA15:AA17)</f>
        <v>0</v>
      </c>
      <c r="AB14" s="156">
        <f>SUM(AB15:AB17)</f>
        <v>0</v>
      </c>
      <c r="AC14" s="156">
        <f>SUM(AC15:AC17)</f>
        <v>0</v>
      </c>
      <c r="AD14" s="12"/>
      <c r="AE14" s="157" t="str">
        <f ca="1">IFERROR(X14/AC14,"no runhours")</f>
        <v>no runhours</v>
      </c>
      <c r="AF14" s="155">
        <v>46</v>
      </c>
    </row>
    <row r="15" spans="1:32">
      <c r="A15">
        <v>2442</v>
      </c>
      <c r="B15" t="s">
        <v>1199</v>
      </c>
      <c r="C15">
        <f t="shared" si="0"/>
        <v>31.6</v>
      </c>
      <c r="D15" s="34">
        <f ca="1">SUMIFS('Daily Run Hours'!$G:$G,'Daily Run Hours'!$B:$B,$B$1,'Daily Run Hours'!F:F,$A15)</f>
        <v>0</v>
      </c>
      <c r="E15">
        <f>COUNTIFS(Error_Log!$B:$B,$B$1,Error_Log!$F:$F,$A15,Error_Log!$V:$V,"Y")</f>
        <v>0</v>
      </c>
      <c r="H15" t="s">
        <v>1199</v>
      </c>
      <c r="I15">
        <f t="shared" si="1"/>
        <v>31.6</v>
      </c>
      <c r="J15" s="34">
        <f ca="1">SUMIFS('Daily Run Hours'!$G:$G,'Daily Run Hours'!$B:$B,$H$1,'Daily Run Hours'!$F:$F,$A15)</f>
        <v>0</v>
      </c>
      <c r="K15">
        <f>COUNTIFS(Error_Log!$B:$B,$H$1,Error_Log!$F:$F,$A15,Error_Log!$V:$V,"Y")</f>
        <v>0</v>
      </c>
      <c r="N15" t="s">
        <v>1199</v>
      </c>
      <c r="O15">
        <f t="shared" si="2"/>
        <v>31.6</v>
      </c>
      <c r="P15" s="34">
        <f ca="1">SUMIFS('Daily Run Hours'!$G:$G,'Daily Run Hours'!$B:$B,$N$1,'Daily Run Hours'!$F:$F,$A15)</f>
        <v>0</v>
      </c>
      <c r="Q15">
        <f>COUNTIFS(Error_Log!$B:$B,$N$1,Error_Log!$F:$F,$A15,Error_Log!$V:$V,"Y")</f>
        <v>0</v>
      </c>
      <c r="T15" s="154" t="s">
        <v>1208</v>
      </c>
      <c r="U15" s="34">
        <f>SUMIF(B:B,T15,D:D)</f>
        <v>0</v>
      </c>
      <c r="V15" s="34">
        <f>SUMIF(H:H,T15,J:J)</f>
        <v>0</v>
      </c>
      <c r="W15" s="34">
        <f>SUMIF(N:N,T15,P:P)</f>
        <v>0</v>
      </c>
      <c r="X15" s="34">
        <f>SUM(U15:W15)</f>
        <v>0</v>
      </c>
      <c r="Z15">
        <f>SUMIF(B:B,T15,E:E)</f>
        <v>0</v>
      </c>
      <c r="AA15">
        <f>SUMIF(H:H,T15,K:K)</f>
        <v>0</v>
      </c>
      <c r="AB15">
        <f>SUMIF(N:N,T15,Q:Q)</f>
        <v>0</v>
      </c>
      <c r="AC15">
        <f>SUM(Z15:AB15)</f>
        <v>0</v>
      </c>
      <c r="AE15" s="35" t="str">
        <f>IFERROR(X15/AC15,"no runhours")</f>
        <v>no runhours</v>
      </c>
      <c r="AF15">
        <v>35.299999999999997</v>
      </c>
    </row>
    <row r="16" spans="1:32">
      <c r="A16">
        <v>2443</v>
      </c>
      <c r="B16" t="s">
        <v>1199</v>
      </c>
      <c r="C16">
        <f t="shared" si="0"/>
        <v>31.6</v>
      </c>
      <c r="D16" s="34">
        <f ca="1">SUMIFS('Daily Run Hours'!$G:$G,'Daily Run Hours'!$B:$B,$B$1,'Daily Run Hours'!F:F,$A16)</f>
        <v>0</v>
      </c>
      <c r="E16">
        <f>COUNTIFS(Error_Log!$B:$B,$B$1,Error_Log!$F:$F,$A16,Error_Log!$V:$V,"Y")</f>
        <v>0</v>
      </c>
      <c r="F16" t="s">
        <v>1209</v>
      </c>
      <c r="H16" t="s">
        <v>1199</v>
      </c>
      <c r="I16">
        <f t="shared" si="1"/>
        <v>31.6</v>
      </c>
      <c r="J16" s="34">
        <f ca="1">SUMIFS('Daily Run Hours'!$G:$G,'Daily Run Hours'!$B:$B,$H$1,'Daily Run Hours'!$F:$F,$A16)</f>
        <v>0</v>
      </c>
      <c r="K16">
        <f>COUNTIFS(Error_Log!$B:$B,$H$1,Error_Log!$F:$F,$A16,Error_Log!$V:$V,"Y")</f>
        <v>0</v>
      </c>
      <c r="N16" t="s">
        <v>1199</v>
      </c>
      <c r="O16">
        <f t="shared" si="2"/>
        <v>31.6</v>
      </c>
      <c r="P16" s="34">
        <f ca="1">SUMIFS('Daily Run Hours'!$G:$G,'Daily Run Hours'!$B:$B,$N$1,'Daily Run Hours'!$F:$F,$A16)</f>
        <v>0</v>
      </c>
      <c r="Q16">
        <f>COUNTIFS(Error_Log!$B:$B,$N$1,Error_Log!$F:$F,$A16,Error_Log!$V:$V,"Y")</f>
        <v>0</v>
      </c>
      <c r="T16" s="154" t="s">
        <v>1210</v>
      </c>
      <c r="U16" s="34">
        <f ca="1">SUMIF(B:B,T16,D:D)</f>
        <v>68.5</v>
      </c>
      <c r="V16" s="34">
        <f>SUMIF(H:H,T16,J:J)</f>
        <v>0</v>
      </c>
      <c r="W16" s="34">
        <f ca="1">SUMIF(N:N,T16,P:P)</f>
        <v>0</v>
      </c>
      <c r="X16" s="34">
        <f ca="1">SUM(U16:W16)</f>
        <v>68.5</v>
      </c>
      <c r="Z16">
        <f>SUMIF(B:B,T16,E:E)</f>
        <v>0</v>
      </c>
      <c r="AA16">
        <f>SUMIF(H:H,T16,K:K)</f>
        <v>0</v>
      </c>
      <c r="AB16">
        <f>SUMIF(N:N,T16,Q:Q)</f>
        <v>0</v>
      </c>
      <c r="AC16">
        <f>SUM(Z16:AB16)</f>
        <v>0</v>
      </c>
      <c r="AE16" s="35" t="str">
        <f ca="1">IFERROR(X16/AC16,"no runhours")</f>
        <v>no runhours</v>
      </c>
      <c r="AF16">
        <v>36.700000000000003</v>
      </c>
    </row>
    <row r="17" spans="1:32">
      <c r="A17">
        <v>2444</v>
      </c>
      <c r="B17" t="s">
        <v>1201</v>
      </c>
      <c r="C17">
        <f t="shared" si="0"/>
        <v>31.6</v>
      </c>
      <c r="D17" s="34">
        <f ca="1">SUMIFS('Daily Run Hours'!$G:$G,'Daily Run Hours'!$B:$B,$B$1,'Daily Run Hours'!F:F,$A17)</f>
        <v>0</v>
      </c>
      <c r="E17">
        <f>COUNTIFS(Error_Log!$B:$B,$B$1,Error_Log!$F:$F,$A17,Error_Log!$V:$V,"Y")</f>
        <v>0</v>
      </c>
      <c r="H17" t="s">
        <v>1199</v>
      </c>
      <c r="I17">
        <f t="shared" si="1"/>
        <v>31.6</v>
      </c>
      <c r="J17" s="34">
        <f ca="1">SUMIFS('Daily Run Hours'!$G:$G,'Daily Run Hours'!$B:$B,$H$1,'Daily Run Hours'!$F:$F,$A17)</f>
        <v>0</v>
      </c>
      <c r="K17">
        <f>COUNTIFS(Error_Log!$B:$B,$H$1,Error_Log!$F:$F,$A17,Error_Log!$V:$V,"Y")</f>
        <v>0</v>
      </c>
      <c r="L17" t="s">
        <v>1211</v>
      </c>
      <c r="N17" t="s">
        <v>1199</v>
      </c>
      <c r="O17">
        <f t="shared" si="2"/>
        <v>31.6</v>
      </c>
      <c r="P17" s="34">
        <f ca="1">SUMIFS('Daily Run Hours'!$G:$G,'Daily Run Hours'!$B:$B,$N$1,'Daily Run Hours'!$F:$F,$A17)</f>
        <v>0</v>
      </c>
      <c r="Q17">
        <f>COUNTIFS(Error_Log!$B:$B,$N$1,Error_Log!$F:$F,$A17,Error_Log!$V:$V,"Y")</f>
        <v>0</v>
      </c>
      <c r="T17" s="154" t="s">
        <v>1212</v>
      </c>
      <c r="U17" s="34">
        <f>SUMIF(B:B,T17,D:D)</f>
        <v>0</v>
      </c>
      <c r="V17" s="34">
        <f>SUMIF(H:H,T17,J:J)</f>
        <v>0</v>
      </c>
      <c r="W17" s="34">
        <f ca="1">SUMIF(N:N,T17,P:P)</f>
        <v>0</v>
      </c>
      <c r="X17" s="34">
        <f ca="1">SUM(U17:W17)</f>
        <v>0</v>
      </c>
      <c r="Z17">
        <f>SUMIF(B:B,T17,E:E)</f>
        <v>0</v>
      </c>
      <c r="AA17">
        <f>SUMIF(H:H,T17,K:K)</f>
        <v>0</v>
      </c>
      <c r="AB17">
        <f>SUMIF(N:N,T17,Q:Q)</f>
        <v>0</v>
      </c>
      <c r="AC17">
        <f>SUM(Z17:AB17)</f>
        <v>0</v>
      </c>
      <c r="AE17" s="35" t="str">
        <f ca="1">IFERROR(X17/AC17,"no runhours")</f>
        <v>no runhours</v>
      </c>
      <c r="AF17">
        <v>46</v>
      </c>
    </row>
    <row r="18" spans="1:32">
      <c r="A18">
        <v>2445</v>
      </c>
      <c r="B18" t="s">
        <v>1201</v>
      </c>
      <c r="C18">
        <f t="shared" si="0"/>
        <v>31.6</v>
      </c>
      <c r="D18" s="34">
        <f ca="1">SUMIFS('Daily Run Hours'!$G:$G,'Daily Run Hours'!$B:$B,$B$1,'Daily Run Hours'!F:F,$A18)</f>
        <v>10.299999999999999</v>
      </c>
      <c r="E18">
        <f>COUNTIFS(Error_Log!$B:$B,$B$1,Error_Log!$F:$F,$A18,Error_Log!$V:$V,"Y")</f>
        <v>0</v>
      </c>
      <c r="F18" t="s">
        <v>1213</v>
      </c>
      <c r="H18" t="s">
        <v>1202</v>
      </c>
      <c r="I18">
        <f t="shared" si="1"/>
        <v>34.299999999999997</v>
      </c>
      <c r="J18" s="34">
        <f ca="1">SUMIFS('Daily Run Hours'!$G:$G,'Daily Run Hours'!$B:$B,$H$1,'Daily Run Hours'!$F:$F,$A18)</f>
        <v>0</v>
      </c>
      <c r="K18">
        <f>COUNTIFS(Error_Log!$B:$B,$H$1,Error_Log!$F:$F,$A18,Error_Log!$V:$V,"Y")</f>
        <v>0</v>
      </c>
      <c r="N18" t="s">
        <v>1199</v>
      </c>
      <c r="O18">
        <f t="shared" si="2"/>
        <v>31.6</v>
      </c>
      <c r="P18" s="34">
        <f ca="1">SUMIFS('Daily Run Hours'!$G:$G,'Daily Run Hours'!$B:$B,$N$1,'Daily Run Hours'!$F:$F,$A18)</f>
        <v>0</v>
      </c>
      <c r="Q18">
        <f>COUNTIFS(Error_Log!$B:$B,$N$1,Error_Log!$F:$F,$A18,Error_Log!$V:$V,"Y")</f>
        <v>0</v>
      </c>
    </row>
    <row r="19" spans="1:32">
      <c r="A19">
        <v>2446</v>
      </c>
      <c r="B19" t="s">
        <v>1202</v>
      </c>
      <c r="C19">
        <f t="shared" si="0"/>
        <v>34.299999999999997</v>
      </c>
      <c r="D19" s="34">
        <f ca="1">SUMIFS('Daily Run Hours'!$G:$G,'Daily Run Hours'!$B:$B,$B$1,'Daily Run Hours'!F:F,$A19)</f>
        <v>10.199999999999999</v>
      </c>
      <c r="E19">
        <f>COUNTIFS(Error_Log!$B:$B,$B$1,Error_Log!$F:$F,$A19,Error_Log!$V:$V,"Y")</f>
        <v>0</v>
      </c>
      <c r="H19" t="s">
        <v>1202</v>
      </c>
      <c r="I19">
        <f t="shared" si="1"/>
        <v>34.299999999999997</v>
      </c>
      <c r="J19" s="34">
        <f ca="1">SUMIFS('Daily Run Hours'!$G:$G,'Daily Run Hours'!$B:$B,$H$1,'Daily Run Hours'!$F:$F,$A19)</f>
        <v>0</v>
      </c>
      <c r="K19">
        <f>COUNTIFS(Error_Log!$B:$B,$H$1,Error_Log!$F:$F,$A19,Error_Log!$V:$V,"Y")</f>
        <v>0</v>
      </c>
      <c r="N19" t="s">
        <v>1199</v>
      </c>
      <c r="O19">
        <f t="shared" si="2"/>
        <v>31.6</v>
      </c>
      <c r="P19" s="34">
        <f ca="1">SUMIFS('Daily Run Hours'!$G:$G,'Daily Run Hours'!$B:$B,$N$1,'Daily Run Hours'!$F:$F,$A19)</f>
        <v>0</v>
      </c>
      <c r="Q19">
        <f>COUNTIFS(Error_Log!$B:$B,$N$1,Error_Log!$F:$F,$A19,Error_Log!$V:$V,"Y")</f>
        <v>0</v>
      </c>
      <c r="T19" s="155" t="s">
        <v>1214</v>
      </c>
    </row>
    <row r="20" spans="1:32">
      <c r="A20">
        <v>2447</v>
      </c>
      <c r="B20" t="s">
        <v>1202</v>
      </c>
      <c r="C20">
        <f t="shared" si="0"/>
        <v>34.299999999999997</v>
      </c>
      <c r="D20" s="34">
        <f ca="1">SUMIFS('Daily Run Hours'!$G:$G,'Daily Run Hours'!$B:$B,$B$1,'Daily Run Hours'!F:F,$A20)</f>
        <v>6.5</v>
      </c>
      <c r="E20">
        <f>COUNTIFS(Error_Log!$B:$B,$B$1,Error_Log!$F:$F,$A20,Error_Log!$V:$V,"Y")</f>
        <v>0</v>
      </c>
      <c r="H20" t="s">
        <v>1202</v>
      </c>
      <c r="I20">
        <f t="shared" si="1"/>
        <v>34.299999999999997</v>
      </c>
      <c r="J20" s="34">
        <f ca="1">SUMIFS('Daily Run Hours'!$G:$G,'Daily Run Hours'!$B:$B,$H$1,'Daily Run Hours'!$F:$F,$A20)</f>
        <v>0</v>
      </c>
      <c r="K20">
        <f>COUNTIFS(Error_Log!$B:$B,$H$1,Error_Log!$F:$F,$A20,Error_Log!$V:$V,"Y")</f>
        <v>0</v>
      </c>
      <c r="N20" t="s">
        <v>1199</v>
      </c>
      <c r="O20">
        <f t="shared" si="2"/>
        <v>31.6</v>
      </c>
      <c r="P20" s="34">
        <f ca="1">SUMIFS('Daily Run Hours'!$G:$G,'Daily Run Hours'!$B:$B,$N$1,'Daily Run Hours'!$F:$F,$A20)</f>
        <v>0</v>
      </c>
      <c r="Q20">
        <f>COUNTIFS(Error_Log!$B:$B,$N$1,Error_Log!$F:$F,$A20,Error_Log!$V:$V,"Y")</f>
        <v>0</v>
      </c>
      <c r="T20" s="154" t="s">
        <v>1215</v>
      </c>
      <c r="U20" s="34">
        <f ca="1">SUMIF(B:B,T20,D:D)</f>
        <v>451.8</v>
      </c>
      <c r="V20" s="34">
        <f>SUMIF(H:H,T20,J:J)</f>
        <v>0</v>
      </c>
      <c r="W20" s="34">
        <f ca="1">SUMIF(N:N,T20,P:P)</f>
        <v>0</v>
      </c>
      <c r="X20" s="34">
        <f ca="1">SUM(U20:W20)</f>
        <v>451.8</v>
      </c>
      <c r="Z20">
        <f>SUMIF(B:B,T20,E:E)</f>
        <v>0</v>
      </c>
      <c r="AA20">
        <f>SUMIF(H:H,T20,K:K)</f>
        <v>0</v>
      </c>
      <c r="AB20">
        <f>SUMIF(N:N,T20,Q:Q)</f>
        <v>0</v>
      </c>
      <c r="AC20">
        <f>SUM(Z20:AB20)</f>
        <v>0</v>
      </c>
      <c r="AE20" s="35" t="str">
        <f ca="1">IFERROR(X20/AC20,"no runhours")</f>
        <v>no runhours</v>
      </c>
      <c r="AF20">
        <v>46.9</v>
      </c>
    </row>
    <row r="21" spans="1:32">
      <c r="A21">
        <v>2448</v>
      </c>
      <c r="B21" t="s">
        <v>1202</v>
      </c>
      <c r="C21">
        <f t="shared" si="0"/>
        <v>34.299999999999997</v>
      </c>
      <c r="D21" s="34">
        <f ca="1">SUMIFS('Daily Run Hours'!$G:$G,'Daily Run Hours'!$B:$B,$B$1,'Daily Run Hours'!F:F,$A21)</f>
        <v>4.8</v>
      </c>
      <c r="E21">
        <f>COUNTIFS(Error_Log!$B:$B,$B$1,Error_Log!$F:$F,$A21,Error_Log!$V:$V,"Y")</f>
        <v>0</v>
      </c>
      <c r="F21" t="s">
        <v>1216</v>
      </c>
      <c r="H21" t="s">
        <v>1202</v>
      </c>
      <c r="I21">
        <f t="shared" si="1"/>
        <v>34.299999999999997</v>
      </c>
      <c r="J21" s="34">
        <f ca="1">SUMIFS('Daily Run Hours'!$G:$G,'Daily Run Hours'!$B:$B,$H$1,'Daily Run Hours'!$F:$F,$A21)</f>
        <v>0</v>
      </c>
      <c r="K21">
        <f>COUNTIFS(Error_Log!$B:$B,$H$1,Error_Log!$F:$F,$A21,Error_Log!$V:$V,"Y")</f>
        <v>0</v>
      </c>
      <c r="N21" t="s">
        <v>1199</v>
      </c>
      <c r="O21">
        <f t="shared" si="2"/>
        <v>31.6</v>
      </c>
      <c r="P21" s="34">
        <f ca="1">SUMIFS('Daily Run Hours'!$G:$G,'Daily Run Hours'!$B:$B,$N$1,'Daily Run Hours'!$F:$F,$A21)</f>
        <v>0</v>
      </c>
      <c r="Q21">
        <f>COUNTIFS(Error_Log!$B:$B,$N$1,Error_Log!$F:$F,$A21,Error_Log!$V:$V,"Y")</f>
        <v>0</v>
      </c>
      <c r="R21" t="s">
        <v>1217</v>
      </c>
      <c r="T21" s="154" t="s">
        <v>1218</v>
      </c>
      <c r="U21" s="34">
        <f>SUMIF(B:B,T21,D:D)</f>
        <v>0</v>
      </c>
      <c r="V21" s="34">
        <f>SUMIF(H:H,T21,J:J)</f>
        <v>0</v>
      </c>
      <c r="W21" s="34">
        <f>SUMIF(N:N,T21,P:P)</f>
        <v>0</v>
      </c>
      <c r="X21" s="34">
        <f>SUM(U21:W21)</f>
        <v>0</v>
      </c>
      <c r="Z21">
        <f>SUMIF(B:B,T21,E:E)</f>
        <v>0</v>
      </c>
      <c r="AA21">
        <f>SUMIF(H:H,T21,K:K)</f>
        <v>0</v>
      </c>
      <c r="AB21">
        <f>SUMIF(N:N,T21,Q:Q)</f>
        <v>0</v>
      </c>
      <c r="AC21">
        <f>SUM(Z21:AB21)</f>
        <v>0</v>
      </c>
      <c r="AE21" s="35" t="str">
        <f>IFERROR(X21/AC21,"no runhours")</f>
        <v>no runhours</v>
      </c>
      <c r="AF21">
        <v>47.3</v>
      </c>
    </row>
    <row r="22" spans="1:32">
      <c r="A22">
        <v>2449</v>
      </c>
      <c r="B22" t="s">
        <v>1210</v>
      </c>
      <c r="C22">
        <f t="shared" si="0"/>
        <v>36.700000000000003</v>
      </c>
      <c r="D22" s="34">
        <f ca="1">SUMIFS('Daily Run Hours'!$G:$G,'Daily Run Hours'!$B:$B,$B$1,'Daily Run Hours'!F:F,$A22)</f>
        <v>21.800000000000004</v>
      </c>
      <c r="E22">
        <f>COUNTIFS(Error_Log!$B:$B,$B$1,Error_Log!$F:$F,$A22,Error_Log!$V:$V,"Y")</f>
        <v>0</v>
      </c>
      <c r="H22" t="s">
        <v>1202</v>
      </c>
      <c r="I22">
        <f t="shared" si="1"/>
        <v>34.299999999999997</v>
      </c>
      <c r="J22" s="34">
        <f ca="1">SUMIFS('Daily Run Hours'!$G:$G,'Daily Run Hours'!$B:$B,$H$1,'Daily Run Hours'!$F:$F,$A22)</f>
        <v>0</v>
      </c>
      <c r="K22">
        <f>COUNTIFS(Error_Log!$B:$B,$H$1,Error_Log!$F:$F,$A22,Error_Log!$V:$V,"Y")</f>
        <v>0</v>
      </c>
      <c r="N22" t="s">
        <v>1210</v>
      </c>
      <c r="O22">
        <f t="shared" si="2"/>
        <v>36.700000000000003</v>
      </c>
      <c r="P22" s="34">
        <f ca="1">SUMIFS('Daily Run Hours'!$G:$G,'Daily Run Hours'!$B:$B,$N$1,'Daily Run Hours'!$F:$F,$A22)</f>
        <v>0</v>
      </c>
      <c r="Q22">
        <f>COUNTIFS(Error_Log!$B:$B,$N$1,Error_Log!$F:$F,$A22,Error_Log!$V:$V,"Y")</f>
        <v>0</v>
      </c>
      <c r="T22" s="154" t="s">
        <v>1219</v>
      </c>
      <c r="U22" s="34">
        <f>SUMIF(B:B,T22,D:D)</f>
        <v>0</v>
      </c>
      <c r="V22" s="34">
        <f>SUMIF(H:H,T22,J:J)</f>
        <v>0</v>
      </c>
      <c r="W22" s="34">
        <f>SUMIF(N:N,T22,P:P)</f>
        <v>0</v>
      </c>
      <c r="X22" s="34">
        <f>SUM(U22:W22)</f>
        <v>0</v>
      </c>
      <c r="Z22">
        <f>SUMIF(B:B,T22,E:E)</f>
        <v>0</v>
      </c>
      <c r="AA22">
        <f>SUMIF(H:H,T22,K:K)</f>
        <v>0</v>
      </c>
      <c r="AB22">
        <f>SUMIF(N:N,T22,Q:Q)</f>
        <v>0</v>
      </c>
      <c r="AC22">
        <f>SUM(Z22:AB22)</f>
        <v>0</v>
      </c>
      <c r="AE22" s="35" t="str">
        <f>IFERROR(X22/AC22,"no runhours")</f>
        <v>no runhours</v>
      </c>
      <c r="AF22">
        <v>47.3</v>
      </c>
    </row>
    <row r="23" spans="1:32">
      <c r="A23">
        <v>2450</v>
      </c>
      <c r="B23" t="s">
        <v>1210</v>
      </c>
      <c r="C23">
        <f t="shared" si="0"/>
        <v>36.700000000000003</v>
      </c>
      <c r="D23" s="34">
        <f ca="1">SUMIFS('Daily Run Hours'!$G:$G,'Daily Run Hours'!$B:$B,$B$1,'Daily Run Hours'!F:F,$A23)</f>
        <v>46.699999999999996</v>
      </c>
      <c r="E23">
        <f>COUNTIFS(Error_Log!$B:$B,$B$1,Error_Log!$F:$F,$A23,Error_Log!$V:$V,"Y")</f>
        <v>0</v>
      </c>
      <c r="F23" t="s">
        <v>1220</v>
      </c>
      <c r="H23" t="s">
        <v>1202</v>
      </c>
      <c r="I23">
        <f t="shared" si="1"/>
        <v>34.299999999999997</v>
      </c>
      <c r="J23" s="34">
        <f ca="1">SUMIFS('Daily Run Hours'!$G:$G,'Daily Run Hours'!$B:$B,$H$1,'Daily Run Hours'!$F:$F,$A23)</f>
        <v>0</v>
      </c>
      <c r="K23">
        <f>COUNTIFS(Error_Log!$B:$B,$H$1,Error_Log!$F:$F,$A23,Error_Log!$V:$V,"Y")</f>
        <v>0</v>
      </c>
      <c r="N23" t="s">
        <v>1210</v>
      </c>
      <c r="O23">
        <f t="shared" si="2"/>
        <v>36.700000000000003</v>
      </c>
      <c r="P23" s="34">
        <f ca="1">SUMIFS('Daily Run Hours'!$G:$G,'Daily Run Hours'!$B:$B,$N$1,'Daily Run Hours'!$F:$F,$A23)</f>
        <v>0</v>
      </c>
      <c r="Q23">
        <f>COUNTIFS(Error_Log!$B:$B,$N$1,Error_Log!$F:$F,$A23,Error_Log!$V:$V,"Y")</f>
        <v>0</v>
      </c>
      <c r="R23" t="s">
        <v>1221</v>
      </c>
    </row>
    <row r="24" spans="1:32">
      <c r="A24">
        <v>2451</v>
      </c>
      <c r="B24" t="s">
        <v>1215</v>
      </c>
      <c r="C24">
        <f t="shared" si="0"/>
        <v>46.9</v>
      </c>
      <c r="D24" s="34">
        <f ca="1">SUMIFS('Daily Run Hours'!$G:$G,'Daily Run Hours'!$B:$B,$B$1,'Daily Run Hours'!F:F,$A24)</f>
        <v>88.5</v>
      </c>
      <c r="E24">
        <f>COUNTIFS(Error_Log!$B:$B,$B$1,Error_Log!$F:$F,$A24,Error_Log!$V:$V,"Y")</f>
        <v>0</v>
      </c>
      <c r="H24" t="s">
        <v>1202</v>
      </c>
      <c r="I24">
        <f t="shared" si="1"/>
        <v>34.299999999999997</v>
      </c>
      <c r="J24" s="34">
        <f ca="1">SUMIFS('Daily Run Hours'!$G:$G,'Daily Run Hours'!$B:$B,$H$1,'Daily Run Hours'!$F:$F,$A24)</f>
        <v>0</v>
      </c>
      <c r="K24">
        <f>COUNTIFS(Error_Log!$B:$B,$H$1,Error_Log!$F:$F,$A24,Error_Log!$V:$V,"Y")</f>
        <v>0</v>
      </c>
      <c r="N24" t="s">
        <v>1212</v>
      </c>
      <c r="O24">
        <f t="shared" si="2"/>
        <v>46</v>
      </c>
      <c r="P24" s="34">
        <f ca="1">SUMIFS('Daily Run Hours'!$G:$G,'Daily Run Hours'!$B:$B,$N$1,'Daily Run Hours'!$F:$F,$A24)</f>
        <v>0</v>
      </c>
      <c r="Q24">
        <f>COUNTIFS(Error_Log!$B:$B,$N$1,Error_Log!$F:$F,$A24,Error_Log!$V:$V,"Y")</f>
        <v>0</v>
      </c>
      <c r="R24" t="s">
        <v>1222</v>
      </c>
    </row>
    <row r="25" spans="1:32">
      <c r="A25">
        <v>2452</v>
      </c>
      <c r="B25" t="s">
        <v>1215</v>
      </c>
      <c r="C25">
        <f t="shared" si="0"/>
        <v>46.9</v>
      </c>
      <c r="D25" s="34">
        <f ca="1">SUMIFS('Daily Run Hours'!$G:$G,'Daily Run Hours'!$B:$B,$B$1,'Daily Run Hours'!F:F,$A25)</f>
        <v>153.50000000000003</v>
      </c>
      <c r="E25">
        <f>COUNTIFS(Error_Log!$B:$B,$B$1,Error_Log!$F:$F,$A25,Error_Log!$V:$V,"Y")</f>
        <v>0</v>
      </c>
      <c r="H25" t="s">
        <v>1202</v>
      </c>
      <c r="I25">
        <f t="shared" si="1"/>
        <v>34.299999999999997</v>
      </c>
      <c r="J25" s="34">
        <f ca="1">SUMIFS('Daily Run Hours'!$G:$G,'Daily Run Hours'!$B:$B,$H$1,'Daily Run Hours'!$F:$F,$A25)</f>
        <v>0</v>
      </c>
      <c r="K25">
        <f>COUNTIFS(Error_Log!$B:$B,$H$1,Error_Log!$F:$F,$A25,Error_Log!$V:$V,"Y")</f>
        <v>0</v>
      </c>
      <c r="N25" t="s">
        <v>1215</v>
      </c>
      <c r="O25">
        <f t="shared" si="2"/>
        <v>46.9</v>
      </c>
      <c r="P25" s="34">
        <f ca="1">SUMIFS('Daily Run Hours'!$G:$G,'Daily Run Hours'!$B:$B,$N$1,'Daily Run Hours'!$F:$F,$A25)</f>
        <v>0</v>
      </c>
      <c r="Q25">
        <f>COUNTIFS(Error_Log!$B:$B,$N$1,Error_Log!$F:$F,$A25,Error_Log!$V:$V,"Y")</f>
        <v>0</v>
      </c>
    </row>
    <row r="26" spans="1:32">
      <c r="A26">
        <v>2501</v>
      </c>
      <c r="B26" t="s">
        <v>1215</v>
      </c>
      <c r="C26">
        <f t="shared" si="0"/>
        <v>46.9</v>
      </c>
      <c r="D26" s="34">
        <f ca="1">SUMIFS('Daily Run Hours'!$G:$G,'Daily Run Hours'!$B:$B,$B$1,'Daily Run Hours'!F:F,$A26)</f>
        <v>81.099999999999994</v>
      </c>
      <c r="E26">
        <f>COUNTIFS(Error_Log!$B:$B,$B$1,Error_Log!$F:$F,$A26,Error_Log!$V:$V,"Y")</f>
        <v>0</v>
      </c>
      <c r="H26" t="s">
        <v>1202</v>
      </c>
      <c r="I26">
        <f t="shared" si="1"/>
        <v>34.299999999999997</v>
      </c>
      <c r="J26" s="34">
        <f ca="1">SUMIFS('Daily Run Hours'!$G:$G,'Daily Run Hours'!$B:$B,$H$1,'Daily Run Hours'!$F:$F,$A26)</f>
        <v>0</v>
      </c>
      <c r="K26">
        <f>COUNTIFS(Error_Log!$B:$B,$H$1,Error_Log!$F:$F,$A26,Error_Log!$V:$V,"Y")</f>
        <v>0</v>
      </c>
      <c r="N26" t="s">
        <v>1215</v>
      </c>
      <c r="O26">
        <f t="shared" si="2"/>
        <v>46.9</v>
      </c>
      <c r="P26" s="34">
        <f ca="1">SUMIFS('Daily Run Hours'!$G:$G,'Daily Run Hours'!$B:$B,$N$1,'Daily Run Hours'!$F:$F,$A26)</f>
        <v>0</v>
      </c>
      <c r="Q26">
        <f>COUNTIFS(Error_Log!$B:$B,$N$1,Error_Log!$F:$F,$A26,Error_Log!$V:$V,"Y")</f>
        <v>0</v>
      </c>
    </row>
    <row r="27" spans="1:32">
      <c r="A27">
        <v>2502</v>
      </c>
      <c r="B27" t="s">
        <v>1215</v>
      </c>
      <c r="C27">
        <f t="shared" si="0"/>
        <v>46.9</v>
      </c>
      <c r="D27" s="34">
        <f ca="1">SUMIFS('Daily Run Hours'!$G:$G,'Daily Run Hours'!$B:$B,$B$1,'Daily Run Hours'!F:F,$A27)</f>
        <v>128.69999999999999</v>
      </c>
      <c r="E27">
        <f>COUNTIFS(Error_Log!$B:$B,$B$1,Error_Log!$F:$F,$A27,Error_Log!$V:$V,"Y")</f>
        <v>0</v>
      </c>
      <c r="H27" t="s">
        <v>1202</v>
      </c>
      <c r="I27">
        <f t="shared" si="1"/>
        <v>34.299999999999997</v>
      </c>
      <c r="J27" s="34">
        <f ca="1">SUMIFS('Daily Run Hours'!$G:$G,'Daily Run Hours'!$B:$B,$H$1,'Daily Run Hours'!$F:$F,$A27)</f>
        <v>0</v>
      </c>
      <c r="K27">
        <f>COUNTIFS(Error_Log!$B:$B,$H$1,Error_Log!$F:$F,$A27,Error_Log!$V:$V,"Y")</f>
        <v>0</v>
      </c>
      <c r="L27" t="s">
        <v>1223</v>
      </c>
      <c r="N27" t="s">
        <v>1215</v>
      </c>
      <c r="O27">
        <f t="shared" si="2"/>
        <v>46.9</v>
      </c>
      <c r="P27" s="34">
        <f ca="1">SUMIFS('Daily Run Hours'!$G:$G,'Daily Run Hours'!$B:$B,$N$1,'Daily Run Hours'!$F:$F,$A27)</f>
        <v>0</v>
      </c>
      <c r="Q27">
        <f>COUNTIFS(Error_Log!$B:$B,$N$1,Error_Log!$F:$F,$A27,Error_Log!$V:$V,"Y")</f>
        <v>0</v>
      </c>
    </row>
    <row r="28" spans="1:32">
      <c r="D28" s="34"/>
      <c r="J28" s="34"/>
      <c r="P28" s="34"/>
    </row>
  </sheetData>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353B7-690E-4321-8FD2-D9342FE422CC}">
  <sheetPr codeName="Sheet17">
    <outlinePr summaryRight="0"/>
  </sheetPr>
  <dimension ref="B1:AM49"/>
  <sheetViews>
    <sheetView workbookViewId="0"/>
  </sheetViews>
  <sheetFormatPr defaultColWidth="9.140625" defaultRowHeight="15" outlineLevelCol="1"/>
  <cols>
    <col min="2" max="2" width="8.5703125" bestFit="1" customWidth="1"/>
    <col min="3" max="3" width="11.140625" customWidth="1"/>
    <col min="5" max="5" width="9.140625" customWidth="1" outlineLevel="1"/>
    <col min="6" max="6" width="8.140625" customWidth="1" outlineLevel="1"/>
    <col min="7" max="7" width="34.42578125" bestFit="1" customWidth="1"/>
    <col min="8" max="8" width="11.140625" customWidth="1"/>
    <col min="9" max="9" width="8.42578125" customWidth="1"/>
    <col min="10" max="10" width="12.140625" bestFit="1" customWidth="1"/>
    <col min="11" max="12" width="9.42578125" customWidth="1"/>
    <col min="13" max="13" width="13.140625" bestFit="1" customWidth="1"/>
    <col min="14" max="14" width="80.42578125" style="43" customWidth="1"/>
    <col min="16" max="16" width="12" style="37" customWidth="1"/>
    <col min="17" max="17" width="11.85546875" customWidth="1"/>
    <col min="18" max="18" width="13.140625" customWidth="1" collapsed="1"/>
    <col min="19" max="22" width="13.140625" hidden="1" customWidth="1" outlineLevel="1"/>
    <col min="23" max="23" width="13.140625" customWidth="1"/>
    <col min="24" max="24" width="11.42578125" customWidth="1"/>
    <col min="26" max="26" width="6.5703125" bestFit="1" customWidth="1"/>
    <col min="27" max="27" width="6.5703125" customWidth="1"/>
    <col min="33" max="33" width="14.42578125" bestFit="1" customWidth="1"/>
  </cols>
  <sheetData>
    <row r="1" spans="2:35">
      <c r="O1" t="s">
        <v>1224</v>
      </c>
      <c r="Q1" s="37" t="s">
        <v>805</v>
      </c>
    </row>
    <row r="2" spans="2:35">
      <c r="D2" s="52" t="s">
        <v>1225</v>
      </c>
      <c r="O2" s="52" t="s">
        <v>1144</v>
      </c>
      <c r="P2" s="37">
        <f>Q2-3</f>
        <v>2442</v>
      </c>
      <c r="Q2" s="52">
        <v>2445</v>
      </c>
      <c r="AG2" s="49" t="s">
        <v>1226</v>
      </c>
    </row>
    <row r="3" spans="2:35" ht="15" customHeight="1">
      <c r="AG3" t="s">
        <v>876</v>
      </c>
    </row>
    <row r="4" spans="2:35" ht="23.25">
      <c r="B4" s="81" t="s">
        <v>876</v>
      </c>
      <c r="C4" s="82" t="s">
        <v>200</v>
      </c>
      <c r="D4" s="82" t="s">
        <v>208</v>
      </c>
      <c r="E4" s="82" t="s">
        <v>1227</v>
      </c>
      <c r="F4" s="81" t="s">
        <v>968</v>
      </c>
      <c r="G4" s="82" t="s">
        <v>204</v>
      </c>
      <c r="H4" s="83" t="s">
        <v>1228</v>
      </c>
      <c r="I4" s="84" t="s">
        <v>1229</v>
      </c>
      <c r="J4" s="84" t="s">
        <v>1230</v>
      </c>
      <c r="K4" s="84" t="s">
        <v>1231</v>
      </c>
      <c r="L4" s="84" t="s">
        <v>1232</v>
      </c>
      <c r="M4" s="82" t="s">
        <v>1233</v>
      </c>
      <c r="N4" s="85" t="s">
        <v>891</v>
      </c>
      <c r="O4" s="81" t="s">
        <v>1234</v>
      </c>
      <c r="P4" s="82" t="s">
        <v>1235</v>
      </c>
      <c r="Q4" s="82" t="s">
        <v>1236</v>
      </c>
      <c r="R4" s="81" t="s">
        <v>1237</v>
      </c>
      <c r="S4" s="53" t="s">
        <v>1238</v>
      </c>
      <c r="T4" s="53" t="s">
        <v>1239</v>
      </c>
      <c r="U4" s="53" t="s">
        <v>1240</v>
      </c>
      <c r="V4" s="53" t="s">
        <v>1241</v>
      </c>
      <c r="W4" s="81" t="s">
        <v>1242</v>
      </c>
      <c r="X4" s="81" t="s">
        <v>1243</v>
      </c>
      <c r="AG4" s="44" t="s">
        <v>805</v>
      </c>
      <c r="AH4" s="9">
        <v>110</v>
      </c>
      <c r="AI4" s="9" t="s">
        <v>1244</v>
      </c>
    </row>
    <row r="5" spans="2:35">
      <c r="B5" s="45" t="str">
        <f t="shared" ref="B5:B49" si="0">IF(P5=$AI$4,CHAR($AH$4),"")</f>
        <v/>
      </c>
      <c r="C5" s="51" t="str">
        <f>_xlfn.XLOOKUP(Table3[[#This Row],[AIR]],Errorlog_table[AIR],Errorlog_table[Root_Error],"not found",0)</f>
        <v>not found</v>
      </c>
      <c r="D5" s="42" t="s">
        <v>1245</v>
      </c>
      <c r="E5" s="78" t="str">
        <f>HYPERLINK("https://air.asml.com/u_qm_issues.do?sysparm_query=number="&amp;Table3[[#This Row],[AIR]],Table3[[#This Row],[AIR]])</f>
        <v>P808198</v>
      </c>
      <c r="F5" s="42" t="s">
        <v>1246</v>
      </c>
      <c r="G5" s="40" t="str">
        <f>_xlfn.XLOOKUP(Table3[[#This Row],[AIR]],Errorlog_table[AIR],Errorlog_table[Description],"not found",0)</f>
        <v>not found</v>
      </c>
      <c r="H5" s="48">
        <f>SUMIFS(Errorlog_table[Duration],Errorlog_table[AIR],Table3[[#This Row],[AIR]],Errorlog_table[System],$O$2,Errorlog_table[Year_Week_Number],"&lt;"&amp;($Q$2+1))</f>
        <v>0</v>
      </c>
      <c r="I5" s="46">
        <f>COUNTIFS(Errorlog_table[AIR],Table3[[#This Row],[AIR]],Errorlog_table[System],$O$2,Errorlog_table[Year_Week_Number],"&lt;="&amp;$Q$2)</f>
        <v>0</v>
      </c>
      <c r="J5" s="46">
        <f>COUNTIFS(Errorlog_table[AIR],Table3[[#This Row],[AIR]],Errorlog_table[P_Hits],"Y",Errorlog_table[System],$O$2,Errorlog_table[Year_Week_Number],"&lt;="&amp;$Q$2)</f>
        <v>0</v>
      </c>
      <c r="K5" s="46">
        <f>COUNTIFS(Errorlog_table[AIR],Table3[[#This Row],[AIR]],Errorlog_table[P_Hits],"Y",Errorlog_table[Year_Week_Number],"&gt;="&amp;$P$2,Errorlog_table[Year_Week_Number],"&lt;="&amp;$Q$2,Errorlog_table[System],$O$2)</f>
        <v>0</v>
      </c>
      <c r="L5" s="46">
        <f>COUNTIFS(Errorlog_table[AIR],Table3[[#This Row],[AIR]],Errorlog_table[U_Hits],"Y",Errorlog_table[Year_Week_Number],"&gt;="&amp;$P$2,Errorlog_table[Year_Week_Number],"&lt;="&amp;$Q$2,Errorlog_table[System],$O$2)</f>
        <v>0</v>
      </c>
      <c r="M5" s="46" t="str" cm="1">
        <f t="array" ref="M5">_xlfn.XLOOKUP(1,(Errorlog_table[AIR]=Table3[[#This Row],[AIR]])*(Errorlog_table[System]=$O$2)*(Errorlog_table[Year_Week_Number]&lt;=$Q$2)*(Errorlog_table[U_Hits]="Y"),Errorlog_table[Year_Week_Number],"not found",0,-1)</f>
        <v>not found</v>
      </c>
      <c r="N5" s="41"/>
      <c r="O5" s="57" t="s">
        <v>805</v>
      </c>
      <c r="P5" s="57" t="str">
        <f>IF(Table3[[#This Row],['# of P hits]]&gt;0,IF($Q$1="y",IF(Table3[[#This Row],['# of P hits 4wks]]&gt;0,"y","n"),"y"),"n")</f>
        <v>n</v>
      </c>
      <c r="Q5" s="57" t="str">
        <f>IF(_xlfn.XLOOKUP(D5,Error_Log!O:O,Error_Log!F:F,"not found",0,-1)="not found","not found",IF($Q$2-_xlfn.XLOOKUP(D5,Error_Log!O:O,Error_Log!F:F,"not found",0,-1)&lt;=3,"y","n"))</f>
        <v>not found</v>
      </c>
      <c r="R5" s="72" t="e">
        <f>_xlfn.ISOWEEKNUM(_xlfn.XLOOKUP(D5,#REF!,#REF!,"not found",0))</f>
        <v>#REF!</v>
      </c>
      <c r="S5" s="57" t="str" cm="1">
        <f t="array" ref="S5">IF(_xlfn.XLOOKUP(D5,AIR_dump[[#All],[Number]],AIR_dump[[#All],[T]],"not found",0,1)="","",YEAR(_xlfn.XLOOKUP(D5,AIR_dump[[#All],[Number]],AIR_dump[[#All],[T]],"not found",0,1)))</f>
        <v/>
      </c>
      <c r="T5" s="57" t="str" cm="1">
        <f t="array" ref="T5">IF(_xlfn.XLOOKUP(D5,AIR_dump[[#All],[Number]],AIR_dump[[#All],[T]],"not found",0,1)="","",_xlfn.ISOWEEKNUM(_xlfn.XLOOKUP(D5,AIR_dump[[#All],[Number]],AIR_dump[[#All],[T]],"not found",0,1)))</f>
        <v/>
      </c>
      <c r="U5" s="57" t="str" cm="1">
        <f t="array" ref="U5">IF(_xlfn.XLOOKUP(D5,AIR_dump[[#All],[Number]],AIR_dump[[#All],[T]],"not found",0,1)="","",WEEKDAY(_xlfn.XLOOKUP(D5,AIR_dump[[#All],[Number]],AIR_dump[[#All],[T]],"not found",0,1),2))</f>
        <v/>
      </c>
      <c r="V5" s="57" t="str" cm="1">
        <f t="array" ref="V5">_xlfn.XLOOKUP(D5,AIR_dump[[#All],[Number]],AIR_dump[[#All],[T status]],"not found",0,1)</f>
        <v>Open</v>
      </c>
      <c r="W5" s="57"/>
      <c r="X5" s="57"/>
      <c r="AG5" s="37" t="s">
        <v>1196</v>
      </c>
      <c r="AH5" s="37"/>
      <c r="AI5" s="9" t="s">
        <v>805</v>
      </c>
    </row>
    <row r="6" spans="2:35" ht="40.5">
      <c r="B6" s="45" t="str">
        <f t="shared" si="0"/>
        <v/>
      </c>
      <c r="C6" s="50" t="s">
        <v>1133</v>
      </c>
      <c r="D6" s="42" t="s">
        <v>1084</v>
      </c>
      <c r="E6" s="79" t="str">
        <f>HYPERLINK("https://air.asml.com/u_qm_issues.do?sysparm_query=number="&amp;Table3[[#This Row],[AIR]],Table3[[#This Row],[AIR]])</f>
        <v>P796308</v>
      </c>
      <c r="F6" s="42" t="s">
        <v>1247</v>
      </c>
      <c r="G6" s="42" t="s">
        <v>1248</v>
      </c>
      <c r="H6" s="48">
        <f>SUMIFS(Errorlog_table[Duration],Errorlog_table[AIR],Table3[[#This Row],[AIR]],Errorlog_table[System],$O$2,Errorlog_table[Year_Week_Number],"&lt;"&amp;($Q$2+1))</f>
        <v>0</v>
      </c>
      <c r="I6" s="46">
        <f>COUNTIFS(Errorlog_table[AIR],Table3[[#This Row],[AIR]],Errorlog_table[System],$O$2,Errorlog_table[Year_Week_Number],"&lt;="&amp;$Q$2)</f>
        <v>0</v>
      </c>
      <c r="J6" s="46">
        <f>COUNTIFS(Errorlog_table[AIR],Table3[[#This Row],[AIR]],Errorlog_table[P_Hits],"Y",Errorlog_table[System],$O$2,Errorlog_table[Year_Week_Number],"&lt;="&amp;$Q$2)</f>
        <v>0</v>
      </c>
      <c r="K6" s="46">
        <f>COUNTIFS(Errorlog_table[AIR],Table3[[#This Row],[AIR]],Errorlog_table[P_Hits],"Y",Errorlog_table[Year_Week_Number],"&gt;="&amp;$P$2,Errorlog_table[Year_Week_Number],"&lt;="&amp;$Q$2,Errorlog_table[System],$O$2)</f>
        <v>0</v>
      </c>
      <c r="L6" s="46">
        <f>COUNTIFS(Errorlog_table[AIR],Table3[[#This Row],[AIR]],Errorlog_table[U_Hits],"Y",Errorlog_table[Year_Week_Number],"&gt;="&amp;$P$2,Errorlog_table[Year_Week_Number],"&lt;="&amp;$Q$2,Errorlog_table[System],$O$2)</f>
        <v>0</v>
      </c>
      <c r="M6" s="46" t="str" cm="1">
        <f t="array" ref="M6">_xlfn.XLOOKUP(1,(Errorlog_table[AIR]=Table3[[#This Row],[AIR]])*(Errorlog_table[System]=$O$2)*(Errorlog_table[Year_Week_Number]&lt;=$Q$2)*(Errorlog_table[U_Hits]="Y"),Errorlog_table[Year_Week_Number],"not found",0,-1)</f>
        <v>not found</v>
      </c>
      <c r="N6" s="73" t="s">
        <v>1249</v>
      </c>
      <c r="O6" s="57" t="s">
        <v>1244</v>
      </c>
      <c r="P6" s="57" t="str">
        <f>IF(Table3[[#This Row],['# of P hits]]&gt;0,IF($Q$1="y",IF(Table3[[#This Row],['# of P hits 4wks]]&gt;0,"y","n"),"y"),"n")</f>
        <v>n</v>
      </c>
      <c r="Q6" s="57" t="str">
        <f>IF(_xlfn.XLOOKUP(D6,Error_Log!O:O,Error_Log!F:F,"not found",0,-1)="not found","not found",IF($Q$2-_xlfn.XLOOKUP(D6,Error_Log!O:O,Error_Log!F:F,"not found",0,-1)&lt;=3,"y","n"))</f>
        <v>not found</v>
      </c>
      <c r="R6" s="57">
        <v>2446</v>
      </c>
      <c r="S6" s="57" cm="1">
        <f t="array" ref="S6">IF(_xlfn.XLOOKUP(D6,AIR_dump[[#All],[Number]],AIR_dump[[#All],[T]],"not found",0,1)="","",YEAR(_xlfn.XLOOKUP(D6,AIR_dump[[#All],[Number]],AIR_dump[[#All],[T]],"not found",0,1)))</f>
        <v>2024</v>
      </c>
      <c r="T6" s="57" cm="1">
        <f t="array" ref="T6">IF(_xlfn.XLOOKUP(D6,AIR_dump[[#All],[Number]],AIR_dump[[#All],[T]],"not found",0,1)="","",_xlfn.ISOWEEKNUM(_xlfn.XLOOKUP(D6,AIR_dump[[#All],[Number]],AIR_dump[[#All],[T]],"not found",0,1)))</f>
        <v>49</v>
      </c>
      <c r="U6" s="57" cm="1">
        <f t="array" ref="U6">IF(_xlfn.XLOOKUP(D6,AIR_dump[[#All],[Number]],AIR_dump[[#All],[T]],"not found",0,1)="","",WEEKDAY(_xlfn.XLOOKUP(D6,AIR_dump[[#All],[Number]],AIR_dump[[#All],[T]],"not found",0,1),2))</f>
        <v>1</v>
      </c>
      <c r="V6" s="57" t="str" cm="1">
        <f t="array" ref="V6">_xlfn.XLOOKUP(D6,AIR_dump[[#All],[Number]],AIR_dump[[#All],[T status]],"not found",0,1)</f>
        <v>Closed</v>
      </c>
      <c r="W6" s="57"/>
      <c r="X6" s="57"/>
    </row>
    <row r="7" spans="2:35" ht="27.75">
      <c r="B7" s="45" t="str">
        <f t="shared" si="0"/>
        <v/>
      </c>
      <c r="C7" s="50" t="str">
        <f>_xlfn.XLOOKUP(Table3[[#This Row],[AIR]],Errorlog_table[AIR],Errorlog_table[Root_Error],"not found",0)</f>
        <v>not found</v>
      </c>
      <c r="D7" s="42" t="s">
        <v>1080</v>
      </c>
      <c r="E7" s="79" t="str">
        <f>HYPERLINK("https://air.asml.com/u_qm_issues.do?sysparm_query=number="&amp;Table3[[#This Row],[AIR]],Table3[[#This Row],[AIR]])</f>
        <v>P830307</v>
      </c>
      <c r="F7" s="42" t="s">
        <v>1250</v>
      </c>
      <c r="G7" s="42" t="str">
        <f>_xlfn.XLOOKUP(Table3[[#This Row],[AIR]],Errorlog_table[AIR],Errorlog_table[Description],"not found",0)</f>
        <v>not found</v>
      </c>
      <c r="H7" s="48">
        <f>SUMIFS(Errorlog_table[Duration],Errorlog_table[AIR],Table3[[#This Row],[AIR]],Errorlog_table[System],$O$2,Errorlog_table[Year_Week_Number],"&lt;"&amp;($Q$2+1))</f>
        <v>0</v>
      </c>
      <c r="I7" s="46">
        <f>COUNTIFS(Errorlog_table[AIR],Table3[[#This Row],[AIR]],Errorlog_table[System],$O$2,Errorlog_table[Year_Week_Number],"&lt;="&amp;$Q$2)</f>
        <v>0</v>
      </c>
      <c r="J7" s="46">
        <f>COUNTIFS(Errorlog_table[AIR],Table3[[#This Row],[AIR]],Errorlog_table[P_Hits],"Y",Errorlog_table[System],$O$2,Errorlog_table[Year_Week_Number],"&lt;="&amp;$Q$2)</f>
        <v>0</v>
      </c>
      <c r="K7" s="46">
        <f>COUNTIFS(Errorlog_table[AIR],Table3[[#This Row],[AIR]],Errorlog_table[P_Hits],"Y",Errorlog_table[Year_Week_Number],"&gt;="&amp;$P$2,Errorlog_table[Year_Week_Number],"&lt;="&amp;$Q$2,Errorlog_table[System],$O$2)</f>
        <v>0</v>
      </c>
      <c r="L7" s="46">
        <f>COUNTIFS(Errorlog_table[AIR],Table3[[#This Row],[AIR]],Errorlog_table[U_Hits],"Y",Errorlog_table[Year_Week_Number],"&gt;="&amp;$P$2,Errorlog_table[Year_Week_Number],"&lt;="&amp;$Q$2,Errorlog_table[System],$O$2)</f>
        <v>0</v>
      </c>
      <c r="M7" s="46" t="str" cm="1">
        <f t="array" ref="M7">_xlfn.XLOOKUP(1,(Errorlog_table[AIR]=Table3[[#This Row],[AIR]])*(Errorlog_table[System]=$O$2)*(Errorlog_table[Year_Week_Number]&lt;=$Q$2)*(Errorlog_table[U_Hits]="Y"),Errorlog_table[Year_Week_Number],"not found",0,-1)</f>
        <v>not found</v>
      </c>
      <c r="N7" s="76" t="s">
        <v>1251</v>
      </c>
      <c r="O7" s="57" t="s">
        <v>1244</v>
      </c>
      <c r="P7" s="57" t="str">
        <f>IF(Table3[[#This Row],['# of P hits]]&gt;0,IF($Q$1="y",IF(Table3[[#This Row],['# of P hits 4wks]]&gt;0,"y","n"),"y"),"n")</f>
        <v>n</v>
      </c>
      <c r="Q7" s="57" t="str">
        <f>IF(_xlfn.XLOOKUP(D7,Error_Log!O:O,Error_Log!F:F,"not found",0,-1)="not found","not found",IF($Q$2-_xlfn.XLOOKUP(D7,Error_Log!O:O,Error_Log!F:F,"not found",0,-1)&lt;=3,"y","n"))</f>
        <v>not found</v>
      </c>
      <c r="R7" s="72" t="s">
        <v>1161</v>
      </c>
      <c r="S7" s="57" t="str" cm="1">
        <f t="array" ref="S7">IF(_xlfn.XLOOKUP(D7,AIR_dump[[#All],[Number]],AIR_dump[[#All],[T]],"not found",0,1)="","",YEAR(_xlfn.XLOOKUP(D7,AIR_dump[[#All],[Number]],AIR_dump[[#All],[T]],"not found",0,1)))</f>
        <v/>
      </c>
      <c r="T7" s="57" t="str" cm="1">
        <f t="array" ref="T7">IF(_xlfn.XLOOKUP(D7,AIR_dump[[#All],[Number]],AIR_dump[[#All],[T]],"not found",0,1)="","",_xlfn.ISOWEEKNUM(_xlfn.XLOOKUP(D7,AIR_dump[[#All],[Number]],AIR_dump[[#All],[T]],"not found",0,1)))</f>
        <v/>
      </c>
      <c r="U7" s="57" t="str" cm="1">
        <f t="array" ref="U7">IF(_xlfn.XLOOKUP(D7,AIR_dump[[#All],[Number]],AIR_dump[[#All],[T]],"not found",0,1)="","",WEEKDAY(_xlfn.XLOOKUP(D7,AIR_dump[[#All],[Number]],AIR_dump[[#All],[T]],"not found",0,1),2))</f>
        <v/>
      </c>
      <c r="V7" s="57" t="str" cm="1">
        <f t="array" ref="V7">_xlfn.XLOOKUP(D7,AIR_dump[[#All],[Number]],AIR_dump[[#All],[T status]],"not found",0,1)</f>
        <v>Open</v>
      </c>
      <c r="W7" s="57"/>
      <c r="X7" s="57"/>
      <c r="AG7" t="s">
        <v>968</v>
      </c>
    </row>
    <row r="8" spans="2:35" ht="27">
      <c r="B8" s="45" t="str">
        <f t="shared" si="0"/>
        <v/>
      </c>
      <c r="C8" s="50" t="s">
        <v>1158</v>
      </c>
      <c r="D8" s="42" t="s">
        <v>1170</v>
      </c>
      <c r="E8" s="79" t="str">
        <f>HYPERLINK("https://air.asml.com/u_qm_issues.do?sysparm_query=number="&amp;Table3[[#This Row],[AIR]],Table3[[#This Row],[AIR]])</f>
        <v>P800748</v>
      </c>
      <c r="F8" s="42" t="s">
        <v>1252</v>
      </c>
      <c r="G8" s="42" t="s">
        <v>1253</v>
      </c>
      <c r="H8" s="48">
        <f>SUMIFS(Errorlog_table[Duration],Errorlog_table[AIR],Table3[[#This Row],[AIR]],Errorlog_table[System],$O$2,Errorlog_table[Year_Week_Number],"&lt;"&amp;($Q$2+1))</f>
        <v>0</v>
      </c>
      <c r="I8" s="46">
        <f>COUNTIFS(Errorlog_table[AIR],Table3[[#This Row],[AIR]],Errorlog_table[System],$O$2,Errorlog_table[Year_Week_Number],"&lt;="&amp;$Q$2)</f>
        <v>0</v>
      </c>
      <c r="J8" s="46">
        <f>COUNTIFS(Errorlog_table[AIR],Table3[[#This Row],[AIR]],Errorlog_table[P_Hits],"Y",Errorlog_table[System],$O$2,Errorlog_table[Year_Week_Number],"&lt;="&amp;$Q$2)</f>
        <v>0</v>
      </c>
      <c r="K8" s="46">
        <f>COUNTIFS(Errorlog_table[AIR],Table3[[#This Row],[AIR]],Errorlog_table[P_Hits],"Y",Errorlog_table[Year_Week_Number],"&gt;="&amp;$P$2,Errorlog_table[Year_Week_Number],"&lt;="&amp;$Q$2,Errorlog_table[System],$O$2)</f>
        <v>0</v>
      </c>
      <c r="L8" s="46">
        <f>COUNTIFS(Errorlog_table[AIR],Table3[[#This Row],[AIR]],Errorlog_table[U_Hits],"Y",Errorlog_table[Year_Week_Number],"&gt;="&amp;$P$2,Errorlog_table[Year_Week_Number],"&lt;="&amp;$Q$2,Errorlog_table[System],$O$2)</f>
        <v>0</v>
      </c>
      <c r="M8" s="46" t="str" cm="1">
        <f t="array" ref="M8">_xlfn.XLOOKUP(1,(Errorlog_table[AIR]=Table3[[#This Row],[AIR]])*(Errorlog_table[System]=$O$2)*(Errorlog_table[Year_Week_Number]&lt;=$Q$2)*(Errorlog_table[U_Hits]="Y"),Errorlog_table[Year_Week_Number],"not found",0,-1)</f>
        <v>not found</v>
      </c>
      <c r="N8" s="74" t="s">
        <v>1254</v>
      </c>
      <c r="O8" s="57" t="s">
        <v>1255</v>
      </c>
      <c r="P8" s="57" t="str">
        <f>IF(Table3[[#This Row],['# of P hits]]&gt;0,IF($Q$1="y",IF(Table3[[#This Row],['# of P hits 4wks]]&gt;0,"y","n"),"y"),"n")</f>
        <v>n</v>
      </c>
      <c r="Q8" s="57" t="str">
        <f>IF(_xlfn.XLOOKUP(Table3[[#This Row],[AIR]],Error_Log!O:O,Error_Log!F:F,"not found",0,-1)="not found","not found",IF(($Q$2-_xlfn.XLOOKUP(Table3[[#This Row],[AIR]],Error_Log!O:O,Error_Log!F:F,"not found",0,-1))&lt;=3,"y","n"))</f>
        <v>not found</v>
      </c>
      <c r="R8" s="57">
        <v>2440</v>
      </c>
      <c r="S8" s="57" cm="1">
        <f t="array" ref="S8">IF(_xlfn.XLOOKUP(D8,AIR_dump[[#All],[Number]],AIR_dump[[#All],[T]],"not found",0,1)="","",YEAR(_xlfn.XLOOKUP(D8,AIR_dump[[#All],[Number]],AIR_dump[[#All],[T]],"not found",0,1)))</f>
        <v>2024</v>
      </c>
      <c r="T8" s="57" cm="1">
        <f t="array" ref="T8">IF(_xlfn.XLOOKUP(D8,AIR_dump[[#All],[Number]],AIR_dump[[#All],[T]],"not found",0,1)="","",_xlfn.ISOWEEKNUM(_xlfn.XLOOKUP(D8,AIR_dump[[#All],[Number]],AIR_dump[[#All],[T]],"not found",0,1)))</f>
        <v>32</v>
      </c>
      <c r="U8" s="57" cm="1">
        <f t="array" ref="U8">IF(_xlfn.XLOOKUP(D8,AIR_dump[[#All],[Number]],AIR_dump[[#All],[T]],"not found",0,1)="","",WEEKDAY(_xlfn.XLOOKUP(D8,AIR_dump[[#All],[Number]],AIR_dump[[#All],[T]],"not found",0,1),2))</f>
        <v>5</v>
      </c>
      <c r="V8" s="57" t="str" cm="1">
        <f t="array" ref="V8">_xlfn.XLOOKUP(D8,AIR_dump[[#All],[Number]],AIR_dump[[#All],[T status]],"not found",0,1)</f>
        <v>Closed</v>
      </c>
      <c r="W8" s="57"/>
      <c r="X8" s="57"/>
      <c r="AG8" t="s">
        <v>1252</v>
      </c>
    </row>
    <row r="9" spans="2:35">
      <c r="B9" s="45" t="str">
        <f t="shared" si="0"/>
        <v/>
      </c>
      <c r="C9" s="50" t="s">
        <v>1131</v>
      </c>
      <c r="D9" s="42" t="s">
        <v>1256</v>
      </c>
      <c r="E9" s="79" t="str">
        <f>HYPERLINK("https://air.asml.com/u_qm_issues.do?sysparm_query=number="&amp;Table3[[#This Row],[AIR]],Table3[[#This Row],[AIR]])</f>
        <v>P787765</v>
      </c>
      <c r="F9" s="42" t="s">
        <v>1252</v>
      </c>
      <c r="G9" s="42" t="s">
        <v>1257</v>
      </c>
      <c r="H9" s="48">
        <f>SUMIFS(Errorlog_table[Duration],Errorlog_table[AIR],Table3[[#This Row],[AIR]],Errorlog_table[System],$O$2,Errorlog_table[Year_Week_Number],"&lt;"&amp;($Q$2+1))</f>
        <v>0</v>
      </c>
      <c r="I9" s="46">
        <f>COUNTIFS(Errorlog_table[AIR],Table3[[#This Row],[AIR]],Errorlog_table[System],$O$2,Errorlog_table[Year_Week_Number],"&lt;="&amp;$Q$2)</f>
        <v>0</v>
      </c>
      <c r="J9" s="46">
        <f>COUNTIFS(Errorlog_table[AIR],Table3[[#This Row],[AIR]],Errorlog_table[P_Hits],"Y",Errorlog_table[System],$O$2,Errorlog_table[Year_Week_Number],"&lt;="&amp;$Q$2)</f>
        <v>0</v>
      </c>
      <c r="K9" s="46">
        <f>COUNTIFS(Errorlog_table[AIR],Table3[[#This Row],[AIR]],Errorlog_table[P_Hits],"Y",Errorlog_table[Year_Week_Number],"&gt;="&amp;$P$2,Errorlog_table[Year_Week_Number],"&lt;="&amp;$Q$2,Errorlog_table[System],$O$2)</f>
        <v>0</v>
      </c>
      <c r="L9" s="46">
        <f>COUNTIFS(Errorlog_table[AIR],Table3[[#This Row],[AIR]],Errorlog_table[U_Hits],"Y",Errorlog_table[Year_Week_Number],"&gt;="&amp;$P$2,Errorlog_table[Year_Week_Number],"&lt;="&amp;$Q$2,Errorlog_table[System],$O$2)</f>
        <v>0</v>
      </c>
      <c r="M9" s="46" t="str" cm="1">
        <f t="array" ref="M9">_xlfn.XLOOKUP(1,(Errorlog_table[AIR]=Table3[[#This Row],[AIR]])*(Errorlog_table[System]=$O$2)*(Errorlog_table[Year_Week_Number]&lt;=$Q$2)*(Errorlog_table[U_Hits]="Y"),Errorlog_table[Year_Week_Number],"not found",0,-1)</f>
        <v>not found</v>
      </c>
      <c r="N9" s="73" t="s">
        <v>1258</v>
      </c>
      <c r="O9" s="57" t="s">
        <v>1259</v>
      </c>
      <c r="P9" s="57" t="str">
        <f>IF(Table3[[#This Row],['# of P hits]]&gt;0,IF($Q$1="y",IF(Table3[[#This Row],['# of P hits 4wks]]&gt;0,"y","n"),"y"),"n")</f>
        <v>n</v>
      </c>
      <c r="Q9" s="57" t="str">
        <f>IF(_xlfn.XLOOKUP(D9,Error_Log!O:O,Error_Log!F:F,"not found",0,-1)="not found","not found",IF($Q$2-_xlfn.XLOOKUP(D9,Error_Log!O:O,Error_Log!F:F,"not found",0,-1)&lt;=3,"y","n"))</f>
        <v>not found</v>
      </c>
      <c r="R9" s="57">
        <v>2437</v>
      </c>
      <c r="S9" s="57" cm="1">
        <f t="array" ref="S9">IF(_xlfn.XLOOKUP(D9,AIR_dump[[#All],[Number]],AIR_dump[[#All],[T]],"not found",0,1)="","",YEAR(_xlfn.XLOOKUP(D9,AIR_dump[[#All],[Number]],AIR_dump[[#All],[T]],"not found",0,1)))</f>
        <v>2024</v>
      </c>
      <c r="T9" s="57" cm="1">
        <f t="array" ref="T9">IF(_xlfn.XLOOKUP(D9,AIR_dump[[#All],[Number]],AIR_dump[[#All],[T]],"not found",0,1)="","",_xlfn.ISOWEEKNUM(_xlfn.XLOOKUP(D9,AIR_dump[[#All],[Number]],AIR_dump[[#All],[T]],"not found",0,1)))</f>
        <v>36</v>
      </c>
      <c r="U9" s="57" cm="1">
        <f t="array" ref="U9">IF(_xlfn.XLOOKUP(D9,AIR_dump[[#All],[Number]],AIR_dump[[#All],[T]],"not found",0,1)="","",WEEKDAY(_xlfn.XLOOKUP(D9,AIR_dump[[#All],[Number]],AIR_dump[[#All],[T]],"not found",0,1),2))</f>
        <v>5</v>
      </c>
      <c r="V9" s="57" t="str" cm="1">
        <f t="array" ref="V9">_xlfn.XLOOKUP(D9,AIR_dump[[#All],[Number]],AIR_dump[[#All],[T status]],"not found",0,1)</f>
        <v>Closed</v>
      </c>
      <c r="W9" s="57"/>
      <c r="X9" s="57"/>
      <c r="AG9" t="s">
        <v>1250</v>
      </c>
    </row>
    <row r="10" spans="2:35">
      <c r="B10" s="45" t="str">
        <f t="shared" si="0"/>
        <v/>
      </c>
      <c r="C10" s="50" t="s">
        <v>164</v>
      </c>
      <c r="D10" s="42" t="s">
        <v>1260</v>
      </c>
      <c r="E10" s="79" t="str">
        <f>HYPERLINK("https://air.asml.com/u_qm_issues.do?sysparm_query=number="&amp;Table3[[#This Row],[AIR]],Table3[[#This Row],[AIR]])</f>
        <v>P819610</v>
      </c>
      <c r="F10" s="42" t="s">
        <v>1252</v>
      </c>
      <c r="G10" s="42" t="s">
        <v>1261</v>
      </c>
      <c r="H10" s="48">
        <f>SUMIFS(Errorlog_table[Duration],Errorlog_table[AIR],Table3[[#This Row],[AIR]],Errorlog_table[System],$O$2,Errorlog_table[Year_Week_Number],"&lt;"&amp;($Q$2+1))</f>
        <v>0</v>
      </c>
      <c r="I10" s="46">
        <f>COUNTIFS(Errorlog_table[AIR],Table3[[#This Row],[AIR]],Errorlog_table[System],$O$2,Errorlog_table[Year_Week_Number],"&lt;="&amp;$Q$2)</f>
        <v>0</v>
      </c>
      <c r="J10" s="46">
        <f>COUNTIFS(Errorlog_table[AIR],Table3[[#This Row],[AIR]],Errorlog_table[P_Hits],"Y",Errorlog_table[System],$O$2,Errorlog_table[Year_Week_Number],"&lt;="&amp;$Q$2)</f>
        <v>0</v>
      </c>
      <c r="K10" s="46">
        <f>COUNTIFS(Errorlog_table[AIR],Table3[[#This Row],[AIR]],Errorlog_table[P_Hits],"Y",Errorlog_table[Year_Week_Number],"&gt;="&amp;$P$2,Errorlog_table[Year_Week_Number],"&lt;="&amp;$Q$2,Errorlog_table[System],$O$2)</f>
        <v>0</v>
      </c>
      <c r="L10" s="46">
        <f>COUNTIFS(Errorlog_table[AIR],Table3[[#This Row],[AIR]],Errorlog_table[U_Hits],"Y",Errorlog_table[Year_Week_Number],"&gt;="&amp;$P$2,Errorlog_table[Year_Week_Number],"&lt;="&amp;$Q$2,Errorlog_table[System],$O$2)</f>
        <v>0</v>
      </c>
      <c r="M10" s="46" t="str" cm="1">
        <f t="array" ref="M10">_xlfn.XLOOKUP(1,(Errorlog_table[AIR]=Table3[[#This Row],[AIR]])*(Errorlog_table[System]=$O$2)*(Errorlog_table[Year_Week_Number]&lt;=$Q$2)*(Errorlog_table[U_Hits]="Y"),Errorlog_table[Year_Week_Number],"not found",0,-1)</f>
        <v>not found</v>
      </c>
      <c r="N10" s="47" t="s">
        <v>1262</v>
      </c>
      <c r="O10" s="57" t="s">
        <v>1263</v>
      </c>
      <c r="P10" s="57" t="str">
        <f>IF(Table3[[#This Row],['# of P hits]]&gt;0,IF($Q$1="y",IF(Table3[[#This Row],['# of P hits 4wks]]&gt;0,"y","n"),"y"),"n")</f>
        <v>n</v>
      </c>
      <c r="Q10" s="57" t="str">
        <f>IF(_xlfn.XLOOKUP(D10,Error_Log!O:O,Error_Log!F:F,"not found",0,-1)="not found","not found",IF($Q$2-_xlfn.XLOOKUP(D10,Error_Log!O:O,Error_Log!F:F,"not found",0,-1)&lt;=3,"y","n"))</f>
        <v>not found</v>
      </c>
      <c r="R10" s="57" t="s">
        <v>1161</v>
      </c>
      <c r="S10" s="57" t="e" cm="1">
        <f t="array" ref="S10">IF(_xlfn.XLOOKUP(D10,AIR_dump[[#All],[Number]],AIR_dump[[#All],[T]],"not found",0,1)="","",YEAR(_xlfn.XLOOKUP(D10,AIR_dump[[#All],[Number]],AIR_dump[[#All],[T]],"not found",0,1)))</f>
        <v>#VALUE!</v>
      </c>
      <c r="T10" s="57" t="e" cm="1">
        <f t="array" ref="T10">IF(_xlfn.XLOOKUP(D10,AIR_dump[[#All],[Number]],AIR_dump[[#All],[T]],"not found",0,1)="","",_xlfn.ISOWEEKNUM(_xlfn.XLOOKUP(D10,AIR_dump[[#All],[Number]],AIR_dump[[#All],[T]],"not found",0,1)))</f>
        <v>#VALUE!</v>
      </c>
      <c r="U10" s="57" t="e" cm="1">
        <f t="array" ref="U10">IF(_xlfn.XLOOKUP(D10,AIR_dump[[#All],[Number]],AIR_dump[[#All],[T]],"not found",0,1)="","",WEEKDAY(_xlfn.XLOOKUP(D10,AIR_dump[[#All],[Number]],AIR_dump[[#All],[T]],"not found",0,1),2))</f>
        <v>#VALUE!</v>
      </c>
      <c r="V10" s="57" t="str" cm="1">
        <f t="array" ref="V10">_xlfn.XLOOKUP(D10,AIR_dump[[#All],[Number]],AIR_dump[[#All],[T status]],"not found",0,1)</f>
        <v>not found</v>
      </c>
      <c r="W10" s="57"/>
      <c r="X10" s="57"/>
      <c r="AG10" t="s">
        <v>1247</v>
      </c>
    </row>
    <row r="11" spans="2:35">
      <c r="B11" s="45" t="str">
        <f t="shared" si="0"/>
        <v/>
      </c>
      <c r="C11" s="51" t="s">
        <v>291</v>
      </c>
      <c r="D11" s="42" t="s">
        <v>1264</v>
      </c>
      <c r="E11" s="79" t="str">
        <f>HYPERLINK("https://air.asml.com/u_qm_issues.do?sysparm_query=number="&amp;Table3[[#This Row],[AIR]],Table3[[#This Row],[AIR]])</f>
        <v>P808249</v>
      </c>
      <c r="F11" s="42" t="s">
        <v>1252</v>
      </c>
      <c r="G11" s="40" t="s">
        <v>1265</v>
      </c>
      <c r="H11" s="48">
        <f>SUMIFS(Errorlog_table[Duration],Errorlog_table[AIR],Table3[[#This Row],[AIR]],Errorlog_table[System],$O$2,Errorlog_table[Year_Week_Number],"&lt;"&amp;($Q$2+1))</f>
        <v>0</v>
      </c>
      <c r="I11" s="46">
        <f>COUNTIFS(Errorlog_table[AIR],Table3[[#This Row],[AIR]],Errorlog_table[System],$O$2,Errorlog_table[Year_Week_Number],"&lt;="&amp;$Q$2)</f>
        <v>0</v>
      </c>
      <c r="J11" s="46">
        <f>COUNTIFS(Errorlog_table[AIR],Table3[[#This Row],[AIR]],Errorlog_table[P_Hits],"Y",Errorlog_table[System],$O$2,Errorlog_table[Year_Week_Number],"&lt;="&amp;$Q$2)</f>
        <v>0</v>
      </c>
      <c r="K11" s="46">
        <f>COUNTIFS(Errorlog_table[AIR],Table3[[#This Row],[AIR]],Errorlog_table[P_Hits],"Y",Errorlog_table[Year_Week_Number],"&gt;="&amp;$P$2,Errorlog_table[Year_Week_Number],"&lt;="&amp;$Q$2,Errorlog_table[System],$O$2)</f>
        <v>0</v>
      </c>
      <c r="L11" s="46">
        <f>COUNTIFS(Errorlog_table[AIR],Table3[[#This Row],[AIR]],Errorlog_table[U_Hits],"Y",Errorlog_table[Year_Week_Number],"&gt;="&amp;$P$2,Errorlog_table[Year_Week_Number],"&lt;="&amp;$Q$2,Errorlog_table[System],$O$2)</f>
        <v>0</v>
      </c>
      <c r="M11" s="46" t="str" cm="1">
        <f t="array" ref="M11">_xlfn.XLOOKUP(1,(Errorlog_table[AIR]=Table3[[#This Row],[AIR]])*(Errorlog_table[System]=$O$2)*(Errorlog_table[Year_Week_Number]&lt;=$Q$2)*(Errorlog_table[U_Hits]="Y"),Errorlog_table[Year_Week_Number],"not found",0,-1)</f>
        <v>not found</v>
      </c>
      <c r="N11" s="47" t="s">
        <v>1266</v>
      </c>
      <c r="O11" s="57" t="s">
        <v>1267</v>
      </c>
      <c r="P11" s="57" t="str">
        <f>IF(Table3[[#This Row],['# of P hits]]&gt;0,IF($Q$1="y",IF(Table3[[#This Row],['# of P hits 4wks]]&gt;0,"y","n"),"y"),"n")</f>
        <v>n</v>
      </c>
      <c r="Q11" s="57" t="str">
        <f>IF(_xlfn.XLOOKUP(D11,Error_Log!O:O,Error_Log!F:F,"not found",0,-1)="not found","not found",IF($Q$2-_xlfn.XLOOKUP(D11,Error_Log!O:O,Error_Log!F:F,"not found",0,-1)&lt;=3,"y","n"))</f>
        <v>not found</v>
      </c>
      <c r="R11" s="57">
        <v>2432</v>
      </c>
      <c r="S11" s="57" t="str" cm="1">
        <f t="array" ref="S11">IF(_xlfn.XLOOKUP(D11,AIR_dump[[#All],[Number]],AIR_dump[[#All],[T]],"not found",0,1)="","",YEAR(_xlfn.XLOOKUP(D11,AIR_dump[[#All],[Number]],AIR_dump[[#All],[T]],"not found",0,1)))</f>
        <v/>
      </c>
      <c r="T11" s="57" t="str" cm="1">
        <f t="array" ref="T11">IF(_xlfn.XLOOKUP(D11,AIR_dump[[#All],[Number]],AIR_dump[[#All],[T]],"not found",0,1)="","",_xlfn.ISOWEEKNUM(_xlfn.XLOOKUP(D11,AIR_dump[[#All],[Number]],AIR_dump[[#All],[T]],"not found",0,1)))</f>
        <v/>
      </c>
      <c r="U11" s="57" t="str" cm="1">
        <f t="array" ref="U11">IF(_xlfn.XLOOKUP(D11,AIR_dump[[#All],[Number]],AIR_dump[[#All],[T]],"not found",0,1)="","",WEEKDAY(_xlfn.XLOOKUP(D11,AIR_dump[[#All],[Number]],AIR_dump[[#All],[T]],"not found",0,1),2))</f>
        <v/>
      </c>
      <c r="V11" s="57" t="str" cm="1">
        <f t="array" ref="V11">_xlfn.XLOOKUP(D11,AIR_dump[[#All],[Number]],AIR_dump[[#All],[T status]],"not found",0,1)</f>
        <v>Open</v>
      </c>
      <c r="W11" s="57"/>
      <c r="X11" s="57"/>
      <c r="AG11" t="s">
        <v>1246</v>
      </c>
    </row>
    <row r="12" spans="2:35" ht="22.5">
      <c r="B12" s="45" t="str">
        <f t="shared" si="0"/>
        <v/>
      </c>
      <c r="C12" s="50" t="s">
        <v>166</v>
      </c>
      <c r="D12" s="42" t="s">
        <v>1268</v>
      </c>
      <c r="E12" s="79" t="str">
        <f>HYPERLINK("https://air.asml.com/u_qm_issues.do?sysparm_query=number="&amp;Table3[[#This Row],[AIR]],Table3[[#This Row],[AIR]])</f>
        <v>P815426</v>
      </c>
      <c r="F12" s="42" t="s">
        <v>1252</v>
      </c>
      <c r="G12" s="42" t="s">
        <v>1269</v>
      </c>
      <c r="H12" s="48">
        <f>SUMIFS(Errorlog_table[Duration],Errorlog_table[AIR],Table3[[#This Row],[AIR]],Errorlog_table[System],$O$2,Errorlog_table[Year_Week_Number],"&lt;"&amp;($Q$2+1))</f>
        <v>0</v>
      </c>
      <c r="I12" s="46">
        <f>COUNTIFS(Errorlog_table[AIR],Table3[[#This Row],[AIR]],Errorlog_table[System],$O$2,Errorlog_table[Year_Week_Number],"&lt;="&amp;$Q$2)</f>
        <v>0</v>
      </c>
      <c r="J12" s="46">
        <f>COUNTIFS(Errorlog_table[AIR],Table3[[#This Row],[AIR]],Errorlog_table[P_Hits],"Y",Errorlog_table[System],$O$2,Errorlog_table[Year_Week_Number],"&lt;="&amp;$Q$2)</f>
        <v>0</v>
      </c>
      <c r="K12" s="46">
        <f>COUNTIFS(Errorlog_table[AIR],Table3[[#This Row],[AIR]],Errorlog_table[P_Hits],"Y",Errorlog_table[Year_Week_Number],"&gt;="&amp;$P$2,Errorlog_table[Year_Week_Number],"&lt;="&amp;$Q$2,Errorlog_table[System],$O$2)</f>
        <v>0</v>
      </c>
      <c r="L12" s="46">
        <f>COUNTIFS(Errorlog_table[AIR],Table3[[#This Row],[AIR]],Errorlog_table[U_Hits],"Y",Errorlog_table[Year_Week_Number],"&gt;="&amp;$P$2,Errorlog_table[Year_Week_Number],"&lt;="&amp;$Q$2,Errorlog_table[System],$O$2)</f>
        <v>0</v>
      </c>
      <c r="M12" s="46" t="str" cm="1">
        <f t="array" ref="M12">_xlfn.XLOOKUP(1,(Errorlog_table[AIR]=Table3[[#This Row],[AIR]])*(Errorlog_table[System]=$O$2)*(Errorlog_table[Year_Week_Number]&lt;=$Q$2)*(Errorlog_table[U_Hits]="Y"),Errorlog_table[Year_Week_Number],"not found",0,-1)</f>
        <v>not found</v>
      </c>
      <c r="N12" s="47" t="s">
        <v>1270</v>
      </c>
      <c r="O12" s="57" t="s">
        <v>1263</v>
      </c>
      <c r="P12" s="57" t="str">
        <f>IF(Table3[[#This Row],['# of P hits]]&gt;0,IF($Q$1="y",IF(Table3[[#This Row],['# of P hits 4wks]]&gt;0,"y","n"),"y"),"n")</f>
        <v>n</v>
      </c>
      <c r="Q12" s="57" t="str">
        <f>IF(_xlfn.XLOOKUP(D12,Error_Log!O:O,Error_Log!F:F,"not found",0,-1)="not found","not found",IF($Q$2-_xlfn.XLOOKUP(D12,Error_Log!O:O,Error_Log!F:F,"not found",0,-1)&lt;=3,"y","n"))</f>
        <v>not found</v>
      </c>
      <c r="R12" s="57">
        <v>2439</v>
      </c>
      <c r="S12" s="57" cm="1">
        <f t="array" ref="S12">IF(_xlfn.XLOOKUP(D12,AIR_dump[[#All],[Number]],AIR_dump[[#All],[T]],"not found",0,1)="","",YEAR(_xlfn.XLOOKUP(D12,AIR_dump[[#All],[Number]],AIR_dump[[#All],[T]],"not found",0,1)))</f>
        <v>2024</v>
      </c>
      <c r="T12" s="57" cm="1">
        <f t="array" ref="T12">IF(_xlfn.XLOOKUP(D12,AIR_dump[[#All],[Number]],AIR_dump[[#All],[T]],"not found",0,1)="","",_xlfn.ISOWEEKNUM(_xlfn.XLOOKUP(D12,AIR_dump[[#All],[Number]],AIR_dump[[#All],[T]],"not found",0,1)))</f>
        <v>37</v>
      </c>
      <c r="U12" s="57" cm="1">
        <f t="array" ref="U12">IF(_xlfn.XLOOKUP(D12,AIR_dump[[#All],[Number]],AIR_dump[[#All],[T]],"not found",0,1)="","",WEEKDAY(_xlfn.XLOOKUP(D12,AIR_dump[[#All],[Number]],AIR_dump[[#All],[T]],"not found",0,1),2))</f>
        <v>6</v>
      </c>
      <c r="V12" s="57" t="str" cm="1">
        <f t="array" ref="V12">_xlfn.XLOOKUP(D12,AIR_dump[[#All],[Number]],AIR_dump[[#All],[T status]],"not found",0,1)</f>
        <v>Closed</v>
      </c>
      <c r="W12" s="57"/>
      <c r="X12" s="57"/>
    </row>
    <row r="13" spans="2:35" ht="27.75">
      <c r="B13" s="45" t="str">
        <f t="shared" si="0"/>
        <v/>
      </c>
      <c r="C13" s="50" t="str">
        <f>_xlfn.XLOOKUP(Table3[[#This Row],[AIR]],Errorlog_table[AIR],Errorlog_table[Root_Error],"not found",0,-1)</f>
        <v>not found</v>
      </c>
      <c r="D13" s="42" t="s">
        <v>1082</v>
      </c>
      <c r="E13" s="125" t="str">
        <f>HYPERLINK("https://air.asml.com/u_qm_issues.do?sysparm_query=number="&amp;Table3[[#This Row],[AIR]],Table3[[#This Row],[AIR]])</f>
        <v>P833511</v>
      </c>
      <c r="F13" s="42" t="s">
        <v>1246</v>
      </c>
      <c r="G13" s="40" t="str">
        <f>_xlfn.XLOOKUP(Table3[[#This Row],[AIR]],Errorlog_table[AIR],Errorlog_table[Description],"not found",0)</f>
        <v>not found</v>
      </c>
      <c r="H13" s="48">
        <f>SUMIFS(Errorlog_table[Duration],Errorlog_table[AIR],Table3[[#This Row],[AIR]],Errorlog_table[System],$O$2,Errorlog_table[Year_Week_Number],"&lt;"&amp;($Q$2+1))</f>
        <v>0</v>
      </c>
      <c r="I13" s="46">
        <f>COUNTIFS(Errorlog_table[AIR],Table3[[#This Row],[AIR]],Errorlog_table[System],$O$2,Errorlog_table[Year_Week_Number],"&lt;="&amp;$Q$2)</f>
        <v>0</v>
      </c>
      <c r="J13" s="46">
        <f>COUNTIFS(Errorlog_table[AIR],Table3[[#This Row],[AIR]],Errorlog_table[P_Hits],"Y",Errorlog_table[System],$O$2,Errorlog_table[Year_Week_Number],"&lt;="&amp;$Q$2)</f>
        <v>0</v>
      </c>
      <c r="K13" s="46">
        <f>COUNTIFS(Errorlog_table[AIR],Table3[[#This Row],[AIR]],Errorlog_table[P_Hits],"Y",Errorlog_table[Year_Week_Number],"&gt;="&amp;$P$2,Errorlog_table[Year_Week_Number],"&lt;="&amp;$Q$2,Errorlog_table[System],$O$2)</f>
        <v>0</v>
      </c>
      <c r="L13" s="46">
        <f>COUNTIFS(Errorlog_table[AIR],Table3[[#This Row],[AIR]],Errorlog_table[U_Hits],"Y",Errorlog_table[Year_Week_Number],"&gt;="&amp;$P$2,Errorlog_table[Year_Week_Number],"&lt;="&amp;$Q$2,Errorlog_table[System],$O$2)</f>
        <v>0</v>
      </c>
      <c r="M13" s="46" t="str" cm="1">
        <f t="array" ref="M13">_xlfn.XLOOKUP(1,(Errorlog_table[AIR]=Table3[[#This Row],[AIR]])*(Errorlog_table[System]=$O$2)*(Errorlog_table[Year_Week_Number]&lt;=$Q$2)*(Errorlog_table[U_Hits]="Y"),Errorlog_table[Year_Week_Number],"not found",0,-1)</f>
        <v>not found</v>
      </c>
      <c r="N13" s="76" t="s">
        <v>1271</v>
      </c>
      <c r="O13" s="57" t="s">
        <v>1244</v>
      </c>
      <c r="P13" s="57" t="str">
        <f>IF(Table3[[#This Row],['# of P hits]]&gt;0,IF($Q$1="y",IF(Table3[[#This Row],['# of P hits 4wks]]&gt;0,"y","n"),"y"),"n")</f>
        <v>n</v>
      </c>
      <c r="Q13" s="57" t="str">
        <f>IF(_xlfn.XLOOKUP(D13,Error_Log!O:O,Error_Log!F:F,"not found",0,-1)="not found","not found",IF($Q$2-_xlfn.XLOOKUP(D13,Error_Log!O:O,Error_Log!F:F,"not found",0,-1)&lt;=3,"y","n"))</f>
        <v>not found</v>
      </c>
      <c r="R13" s="72" t="e">
        <f>_xlfn.ISOWEEKNUM(_xlfn.XLOOKUP(D13,#REF!,#REF!,"not found",0))</f>
        <v>#REF!</v>
      </c>
      <c r="S13" s="57" t="str" cm="1">
        <f t="array" ref="S13">IF(_xlfn.XLOOKUP(D13,AIR_dump[[#All],[Number]],AIR_dump[[#All],[T]],"not found",0,1)="","",YEAR(_xlfn.XLOOKUP(D13,AIR_dump[[#All],[Number]],AIR_dump[[#All],[T]],"not found",0,1)))</f>
        <v/>
      </c>
      <c r="T13" s="57" t="str" cm="1">
        <f t="array" ref="T13">IF(_xlfn.XLOOKUP(D13,AIR_dump[[#All],[Number]],AIR_dump[[#All],[T]],"not found",0,1)="","",_xlfn.ISOWEEKNUM(_xlfn.XLOOKUP(D13,AIR_dump[[#All],[Number]],AIR_dump[[#All],[T]],"not found",0,1)))</f>
        <v/>
      </c>
      <c r="U13" s="57" t="str" cm="1">
        <f t="array" ref="U13">IF(_xlfn.XLOOKUP(D13,AIR_dump[[#All],[Number]],AIR_dump[[#All],[T]],"not found",0,1)="","",WEEKDAY(_xlfn.XLOOKUP(D13,AIR_dump[[#All],[Number]],AIR_dump[[#All],[T]],"not found",0,1),2))</f>
        <v/>
      </c>
      <c r="V13" s="57" t="str" cm="1">
        <f t="array" ref="V13">_xlfn.XLOOKUP(D13,AIR_dump[[#All],[Number]],AIR_dump[[#All],[T status]],"not found",0,1)</f>
        <v>Open</v>
      </c>
      <c r="W13" s="57"/>
      <c r="X13" s="57"/>
    </row>
    <row r="14" spans="2:35" ht="27.75">
      <c r="B14" s="45" t="str">
        <f t="shared" si="0"/>
        <v/>
      </c>
      <c r="C14" s="50" t="s">
        <v>186</v>
      </c>
      <c r="D14" s="42" t="s">
        <v>1272</v>
      </c>
      <c r="E14" s="79" t="str">
        <f>HYPERLINK("https://air.asml.com/u_qm_issues.do?sysparm_query=number="&amp;Table3[[#This Row],[AIR]],Table3[[#This Row],[AIR]])</f>
        <v>P780319</v>
      </c>
      <c r="F14" s="42" t="s">
        <v>1252</v>
      </c>
      <c r="G14" s="42" t="s">
        <v>1273</v>
      </c>
      <c r="H14" s="48">
        <f>SUMIFS(Errorlog_table[Duration],Errorlog_table[AIR],Table3[[#This Row],[AIR]],Errorlog_table[System],$O$2,Errorlog_table[Year_Week_Number],"&lt;"&amp;($Q$2+1))</f>
        <v>0</v>
      </c>
      <c r="I14" s="46">
        <f>COUNTIFS(Errorlog_table[AIR],Table3[[#This Row],[AIR]],Errorlog_table[System],$O$2,Errorlog_table[Year_Week_Number],"&lt;="&amp;$Q$2)</f>
        <v>0</v>
      </c>
      <c r="J14" s="46">
        <f>COUNTIFS(Errorlog_table[AIR],Table3[[#This Row],[AIR]],Errorlog_table[P_Hits],"Y",Errorlog_table[System],$O$2,Errorlog_table[Year_Week_Number],"&lt;="&amp;$Q$2)</f>
        <v>0</v>
      </c>
      <c r="K14" s="46">
        <f>COUNTIFS(Errorlog_table[AIR],Table3[[#This Row],[AIR]],Errorlog_table[P_Hits],"Y",Errorlog_table[Year_Week_Number],"&gt;="&amp;$P$2,Errorlog_table[Year_Week_Number],"&lt;="&amp;$Q$2,Errorlog_table[System],$O$2)</f>
        <v>0</v>
      </c>
      <c r="L14" s="46">
        <f>COUNTIFS(Errorlog_table[AIR],Table3[[#This Row],[AIR]],Errorlog_table[U_Hits],"Y",Errorlog_table[Year_Week_Number],"&gt;="&amp;$P$2,Errorlog_table[Year_Week_Number],"&lt;="&amp;$Q$2,Errorlog_table[System],$O$2)</f>
        <v>0</v>
      </c>
      <c r="M14" s="46" t="str" cm="1">
        <f t="array" ref="M14">_xlfn.XLOOKUP(1,(Errorlog_table[AIR]=Table3[[#This Row],[AIR]])*(Errorlog_table[System]=$O$2)*(Errorlog_table[Year_Week_Number]&lt;=$Q$2)*(Errorlog_table[U_Hits]="Y"),Errorlog_table[Year_Week_Number],"not found",0,-1)</f>
        <v>not found</v>
      </c>
      <c r="N14" s="41" t="s">
        <v>1274</v>
      </c>
      <c r="O14" s="57" t="s">
        <v>1255</v>
      </c>
      <c r="P14" s="57" t="str">
        <f>IF(Table3[[#This Row],['# of P hits]]&gt;0,IF($Q$1="y",IF(Table3[[#This Row],['# of P hits 4wks]]&gt;0,"y","n"),"y"),"n")</f>
        <v>n</v>
      </c>
      <c r="Q14" s="57" t="str">
        <f>IF(_xlfn.XLOOKUP(D14,Error_Log!O:O,Error_Log!F:F,"not found",0,-1)="not found","not found",IF($Q$2-_xlfn.XLOOKUP(D14,Error_Log!O:O,Error_Log!F:F,"not found",0,-1)&lt;=3,"y","n"))</f>
        <v>not found</v>
      </c>
      <c r="R14" s="57">
        <v>2440</v>
      </c>
      <c r="S14" s="57" cm="1">
        <f t="array" ref="S14">IF(_xlfn.XLOOKUP(D14,AIR_dump[[#All],[Number]],AIR_dump[[#All],[T]],"not found",0,1)="","",YEAR(_xlfn.XLOOKUP(D14,AIR_dump[[#All],[Number]],AIR_dump[[#All],[T]],"not found",0,1)))</f>
        <v>2024</v>
      </c>
      <c r="T14" s="57" cm="1">
        <f t="array" ref="T14">IF(_xlfn.XLOOKUP(D14,AIR_dump[[#All],[Number]],AIR_dump[[#All],[T]],"not found",0,1)="","",_xlfn.ISOWEEKNUM(_xlfn.XLOOKUP(D14,AIR_dump[[#All],[Number]],AIR_dump[[#All],[T]],"not found",0,1)))</f>
        <v>40</v>
      </c>
      <c r="U14" s="57" cm="1">
        <f t="array" ref="U14">IF(_xlfn.XLOOKUP(D14,AIR_dump[[#All],[Number]],AIR_dump[[#All],[T]],"not found",0,1)="","",WEEKDAY(_xlfn.XLOOKUP(D14,AIR_dump[[#All],[Number]],AIR_dump[[#All],[T]],"not found",0,1),2))</f>
        <v>2</v>
      </c>
      <c r="V14" s="57" t="str" cm="1">
        <f t="array" ref="V14">_xlfn.XLOOKUP(D14,AIR_dump[[#All],[Number]],AIR_dump[[#All],[T status]],"not found",0,1)</f>
        <v>Closed</v>
      </c>
      <c r="W14" s="57"/>
      <c r="X14" s="57"/>
    </row>
    <row r="15" spans="2:35" ht="41.25">
      <c r="B15" s="45" t="str">
        <f t="shared" si="0"/>
        <v/>
      </c>
      <c r="C15" s="50" t="str">
        <f>_xlfn.XLOOKUP(Table3[[#This Row],[AIR]],Errorlog_table[AIR],Errorlog_table[Root_Error],"not found",0)</f>
        <v>BP-3900</v>
      </c>
      <c r="D15" s="42" t="s">
        <v>301</v>
      </c>
      <c r="E15" s="79" t="str">
        <f>HYPERLINK("https://air.asml.com/u_qm_issues.do?sysparm_query=number="&amp;Table3[[#This Row],[AIR]],Table3[[#This Row],[AIR]])</f>
        <v>P825866</v>
      </c>
      <c r="F15" s="42" t="s">
        <v>1246</v>
      </c>
      <c r="G15" s="42" t="str">
        <f>_xlfn.XLOOKUP(Table3[[#This Row],[AIR]],Errorlog_table[AIR],Errorlog_table[Description],"not found",0)</f>
        <v>EpmID:105494| SRC - Lot abort for SRC error | BP-3900 |</v>
      </c>
      <c r="H15" s="48">
        <f>SUMIFS(Errorlog_table[Duration],Errorlog_table[AIR],Table3[[#This Row],[AIR]],Errorlog_table[System],$O$2,Errorlog_table[Year_Week_Number],"&lt;"&amp;($Q$2+1))</f>
        <v>0</v>
      </c>
      <c r="I15" s="46">
        <f>COUNTIFS(Errorlog_table[AIR],Table3[[#This Row],[AIR]],Errorlog_table[System],$O$2,Errorlog_table[Year_Week_Number],"&lt;="&amp;$Q$2)</f>
        <v>0</v>
      </c>
      <c r="J15" s="46">
        <f>COUNTIFS(Errorlog_table[AIR],Table3[[#This Row],[AIR]],Errorlog_table[P_Hits],"Y",Errorlog_table[System],$O$2,Errorlog_table[Year_Week_Number],"&lt;="&amp;$Q$2)</f>
        <v>0</v>
      </c>
      <c r="K15" s="46">
        <f>COUNTIFS(Errorlog_table[AIR],Table3[[#This Row],[AIR]],Errorlog_table[P_Hits],"Y",Errorlog_table[Year_Week_Number],"&gt;="&amp;$P$2,Errorlog_table[Year_Week_Number],"&lt;="&amp;$Q$2,Errorlog_table[System],$O$2)</f>
        <v>0</v>
      </c>
      <c r="L15" s="46">
        <f>COUNTIFS(Errorlog_table[AIR],Table3[[#This Row],[AIR]],Errorlog_table[U_Hits],"Y",Errorlog_table[Year_Week_Number],"&gt;="&amp;$P$2,Errorlog_table[Year_Week_Number],"&lt;="&amp;$Q$2,Errorlog_table[System],$O$2)</f>
        <v>0</v>
      </c>
      <c r="M15" s="46" t="str" cm="1">
        <f t="array" ref="M15">_xlfn.XLOOKUP(1,(Errorlog_table[AIR]=Table3[[#This Row],[AIR]])*(Errorlog_table[System]=$O$2)*(Errorlog_table[Year_Week_Number]&lt;=$Q$2)*(Errorlog_table[U_Hits]="Y"),Errorlog_table[Year_Week_Number],"not found",0,-1)</f>
        <v>not found</v>
      </c>
      <c r="N15" s="126" t="s">
        <v>1275</v>
      </c>
      <c r="O15" s="57" t="s">
        <v>1244</v>
      </c>
      <c r="P15" s="57" t="str">
        <f>IF(Table3[[#This Row],['# of P hits]]&gt;0,IF($Q$1="y",IF(Table3[[#This Row],['# of P hits 4wks]]&gt;0,"y","n"),"y"),"n")</f>
        <v>n</v>
      </c>
      <c r="Q15" s="57" t="str">
        <f>IF(_xlfn.XLOOKUP(D15,Error_Log!O:O,Error_Log!F:F,"not found",0,-1)="not found","not found",IF($Q$2-_xlfn.XLOOKUP(D15,Error_Log!O:O,Error_Log!F:F,"not found",0,-1)&lt;=3,"y","n"))</f>
        <v>y</v>
      </c>
      <c r="R15" s="72" t="e">
        <f>_xlfn.ISOWEEKNUM(_xlfn.XLOOKUP(D15,#REF!,#REF!,"not found",0))</f>
        <v>#REF!</v>
      </c>
      <c r="S15" s="57" cm="1">
        <f t="array" ref="S15">IF(_xlfn.XLOOKUP(D15,AIR_dump[[#All],[Number]],AIR_dump[[#All],[T]],"not found",0,1)="","",YEAR(_xlfn.XLOOKUP(D15,AIR_dump[[#All],[Number]],AIR_dump[[#All],[T]],"not found",0,1)))</f>
        <v>2024</v>
      </c>
      <c r="T15" s="57" cm="1">
        <f t="array" ref="T15">IF(_xlfn.XLOOKUP(D15,AIR_dump[[#All],[Number]],AIR_dump[[#All],[T]],"not found",0,1)="","",_xlfn.ISOWEEKNUM(_xlfn.XLOOKUP(D15,AIR_dump[[#All],[Number]],AIR_dump[[#All],[T]],"not found",0,1)))</f>
        <v>51</v>
      </c>
      <c r="U15" s="57" cm="1">
        <f t="array" ref="U15">IF(_xlfn.XLOOKUP(D15,AIR_dump[[#All],[Number]],AIR_dump[[#All],[T]],"not found",0,1)="","",WEEKDAY(_xlfn.XLOOKUP(D15,AIR_dump[[#All],[Number]],AIR_dump[[#All],[T]],"not found",0,1),2))</f>
        <v>5</v>
      </c>
      <c r="V15" s="57" t="str" cm="1">
        <f t="array" ref="V15">_xlfn.XLOOKUP(D15,AIR_dump[[#All],[Number]],AIR_dump[[#All],[T status]],"not found",0,1)</f>
        <v>Closed</v>
      </c>
      <c r="W15" s="57"/>
      <c r="X15" s="57"/>
    </row>
    <row r="16" spans="2:35">
      <c r="B16" s="45" t="str">
        <f t="shared" si="0"/>
        <v/>
      </c>
      <c r="C16" s="51" t="s">
        <v>1276</v>
      </c>
      <c r="D16" s="42" t="s">
        <v>1277</v>
      </c>
      <c r="E16" s="79" t="str">
        <f>HYPERLINK("https://air.asml.com/u_qm_issues.do?sysparm_query=number="&amp;Table3[[#This Row],[AIR]],Table3[[#This Row],[AIR]])</f>
        <v>P684387</v>
      </c>
      <c r="F16" s="42" t="s">
        <v>1252</v>
      </c>
      <c r="G16" s="40" t="s">
        <v>1278</v>
      </c>
      <c r="H16" s="48">
        <f>SUMIFS(Errorlog_table[Duration],Errorlog_table[AIR],Table3[[#This Row],[AIR]],Errorlog_table[System],$O$2,Errorlog_table[Year_Week_Number],"&lt;"&amp;($Q$2+1))</f>
        <v>0</v>
      </c>
      <c r="I16" s="46">
        <f>COUNTIFS(Errorlog_table[AIR],Table3[[#This Row],[AIR]],Errorlog_table[System],$O$2,Errorlog_table[Year_Week_Number],"&lt;="&amp;$Q$2)</f>
        <v>0</v>
      </c>
      <c r="J16" s="46">
        <f>COUNTIFS(Errorlog_table[AIR],Table3[[#This Row],[AIR]],Errorlog_table[P_Hits],"Y",Errorlog_table[System],$O$2,Errorlog_table[Year_Week_Number],"&lt;="&amp;$Q$2)</f>
        <v>0</v>
      </c>
      <c r="K16" s="46">
        <f>COUNTIFS(Errorlog_table[AIR],Table3[[#This Row],[AIR]],Errorlog_table[P_Hits],"Y",Errorlog_table[Year_Week_Number],"&gt;="&amp;$P$2,Errorlog_table[Year_Week_Number],"&lt;="&amp;$Q$2,Errorlog_table[System],$O$2)</f>
        <v>0</v>
      </c>
      <c r="L16" s="46">
        <f>COUNTIFS(Errorlog_table[AIR],Table3[[#This Row],[AIR]],Errorlog_table[U_Hits],"Y",Errorlog_table[Year_Week_Number],"&gt;="&amp;$P$2,Errorlog_table[Year_Week_Number],"&lt;="&amp;$Q$2,Errorlog_table[System],$O$2)</f>
        <v>0</v>
      </c>
      <c r="M16" s="46" t="str" cm="1">
        <f t="array" ref="M16">_xlfn.XLOOKUP(1,(Errorlog_table[AIR]=Table3[[#This Row],[AIR]])*(Errorlog_table[System]=$O$2)*(Errorlog_table[Year_Week_Number]&lt;=$Q$2)*(Errorlog_table[U_Hits]="Y"),Errorlog_table[Year_Week_Number],"not found",0,-1)</f>
        <v>not found</v>
      </c>
      <c r="N16" s="47" t="s">
        <v>1279</v>
      </c>
      <c r="O16" s="57" t="s">
        <v>1267</v>
      </c>
      <c r="P16" s="57" t="str">
        <f>IF(Table3[[#This Row],['# of P hits]]&gt;0,IF($Q$1="y",IF(Table3[[#This Row],['# of P hits 4wks]]&gt;0,"y","n"),"y"),"n")</f>
        <v>n</v>
      </c>
      <c r="Q16" s="57" t="str">
        <f>IF(_xlfn.XLOOKUP(D16,Error_Log!O:O,Error_Log!F:F,"not found",0,-1)="not found","not found",IF($Q$2-_xlfn.XLOOKUP(D16,Error_Log!O:O,Error_Log!F:F,"not found",0,-1)&lt;=3,"y","n"))</f>
        <v>not found</v>
      </c>
      <c r="R16" s="57">
        <v>2435</v>
      </c>
      <c r="S16" s="57" cm="1">
        <f t="array" ref="S16">IF(_xlfn.XLOOKUP(D16,AIR_dump[[#All],[Number]],AIR_dump[[#All],[T]],"not found",0,1)="","",YEAR(_xlfn.XLOOKUP(D16,AIR_dump[[#All],[Number]],AIR_dump[[#All],[T]],"not found",0,1)))</f>
        <v>2024</v>
      </c>
      <c r="T16" s="57" cm="1">
        <f t="array" ref="T16">IF(_xlfn.XLOOKUP(D16,AIR_dump[[#All],[Number]],AIR_dump[[#All],[T]],"not found",0,1)="","",_xlfn.ISOWEEKNUM(_xlfn.XLOOKUP(D16,AIR_dump[[#All],[Number]],AIR_dump[[#All],[T]],"not found",0,1)))</f>
        <v>23</v>
      </c>
      <c r="U16" s="57" cm="1">
        <f t="array" ref="U16">IF(_xlfn.XLOOKUP(D16,AIR_dump[[#All],[Number]],AIR_dump[[#All],[T]],"not found",0,1)="","",WEEKDAY(_xlfn.XLOOKUP(D16,AIR_dump[[#All],[Number]],AIR_dump[[#All],[T]],"not found",0,1),2))</f>
        <v>4</v>
      </c>
      <c r="V16" s="57" t="str" cm="1">
        <f t="array" ref="V16">_xlfn.XLOOKUP(D16,AIR_dump[[#All],[Number]],AIR_dump[[#All],[T status]],"not found",0,1)</f>
        <v>Closed</v>
      </c>
      <c r="W16" s="57"/>
      <c r="X16" s="57"/>
    </row>
    <row r="17" spans="2:24" ht="40.5">
      <c r="B17" s="45" t="str">
        <f t="shared" si="0"/>
        <v/>
      </c>
      <c r="C17" s="50" t="s">
        <v>163</v>
      </c>
      <c r="D17" s="42" t="s">
        <v>1277</v>
      </c>
      <c r="E17" s="79" t="str">
        <f>HYPERLINK("https://air.asml.com/u_qm_issues.do?sysparm_query=number="&amp;Table3[[#This Row],[AIR]],Table3[[#This Row],[AIR]])</f>
        <v>P684387</v>
      </c>
      <c r="F17" s="42" t="s">
        <v>1252</v>
      </c>
      <c r="G17" s="42" t="s">
        <v>1280</v>
      </c>
      <c r="H17" s="48">
        <f>SUMIFS(Errorlog_table[Duration],Errorlog_table[AIR],Table3[[#This Row],[AIR]],Errorlog_table[System],$O$2,Errorlog_table[Year_Week_Number],"&lt;"&amp;($Q$2+1))</f>
        <v>0</v>
      </c>
      <c r="I17" s="46">
        <f>COUNTIFS(Errorlog_table[AIR],Table3[[#This Row],[AIR]],Errorlog_table[System],$O$2,Errorlog_table[Year_Week_Number],"&lt;="&amp;$Q$2)</f>
        <v>0</v>
      </c>
      <c r="J17" s="46">
        <f>COUNTIFS(Errorlog_table[AIR],Table3[[#This Row],[AIR]],Errorlog_table[P_Hits],"Y",Errorlog_table[System],$O$2,Errorlog_table[Year_Week_Number],"&lt;="&amp;$Q$2)</f>
        <v>0</v>
      </c>
      <c r="K17" s="46">
        <f>COUNTIFS(Errorlog_table[AIR],Table3[[#This Row],[AIR]],Errorlog_table[P_Hits],"Y",Errorlog_table[Year_Week_Number],"&gt;="&amp;$P$2,Errorlog_table[Year_Week_Number],"&lt;="&amp;$Q$2,Errorlog_table[System],$O$2)</f>
        <v>0</v>
      </c>
      <c r="L17" s="46">
        <f>COUNTIFS(Errorlog_table[AIR],Table3[[#This Row],[AIR]],Errorlog_table[U_Hits],"Y",Errorlog_table[Year_Week_Number],"&gt;="&amp;$P$2,Errorlog_table[Year_Week_Number],"&lt;="&amp;$Q$2,Errorlog_table[System],$O$2)</f>
        <v>0</v>
      </c>
      <c r="M17" s="46" t="str" cm="1">
        <f t="array" ref="M17">_xlfn.XLOOKUP(1,(Errorlog_table[AIR]=Table3[[#This Row],[AIR]])*(Errorlog_table[System]=$O$2)*(Errorlog_table[Year_Week_Number]&lt;=$Q$2)*(Errorlog_table[U_Hits]="Y"),Errorlog_table[Year_Week_Number],"not found",0,-1)</f>
        <v>not found</v>
      </c>
      <c r="N17" s="47" t="s">
        <v>1281</v>
      </c>
      <c r="O17" s="57" t="s">
        <v>1282</v>
      </c>
      <c r="P17" s="57" t="str">
        <f>IF(Table3[[#This Row],['# of P hits]]&gt;0,IF($Q$1="y",IF(Table3[[#This Row],['# of P hits 4wks]]&gt;0,"y","n"),"y"),"n")</f>
        <v>n</v>
      </c>
      <c r="Q17" s="57" t="str">
        <f>IF(_xlfn.XLOOKUP(D17,Error_Log!O:O,Error_Log!F:F,"not found",0,-1)="not found","not found",IF($Q$2-_xlfn.XLOOKUP(D17,Error_Log!O:O,Error_Log!F:F,"not found",0,-1)&lt;=3,"y","n"))</f>
        <v>not found</v>
      </c>
      <c r="R17" s="57" t="s">
        <v>1161</v>
      </c>
      <c r="S17" s="57" cm="1">
        <f t="array" ref="S17">IF(_xlfn.XLOOKUP(D17,AIR_dump[[#All],[Number]],AIR_dump[[#All],[T]],"not found",0,1)="","",YEAR(_xlfn.XLOOKUP(D17,AIR_dump[[#All],[Number]],AIR_dump[[#All],[T]],"not found",0,1)))</f>
        <v>2024</v>
      </c>
      <c r="T17" s="57" cm="1">
        <f t="array" ref="T17">IF(_xlfn.XLOOKUP(D17,AIR_dump[[#All],[Number]],AIR_dump[[#All],[T]],"not found",0,1)="","",_xlfn.ISOWEEKNUM(_xlfn.XLOOKUP(D17,AIR_dump[[#All],[Number]],AIR_dump[[#All],[T]],"not found",0,1)))</f>
        <v>23</v>
      </c>
      <c r="U17" s="57" cm="1">
        <f t="array" ref="U17">IF(_xlfn.XLOOKUP(D17,AIR_dump[[#All],[Number]],AIR_dump[[#All],[T]],"not found",0,1)="","",WEEKDAY(_xlfn.XLOOKUP(D17,AIR_dump[[#All],[Number]],AIR_dump[[#All],[T]],"not found",0,1),2))</f>
        <v>4</v>
      </c>
      <c r="V17" s="57" t="str" cm="1">
        <f t="array" ref="V17">_xlfn.XLOOKUP(D17,AIR_dump[[#All],[Number]],AIR_dump[[#All],[T status]],"not found",0,1)</f>
        <v>Closed</v>
      </c>
      <c r="W17" s="57"/>
      <c r="X17" s="57"/>
    </row>
    <row r="18" spans="2:24" ht="27.75">
      <c r="B18" s="45" t="str">
        <f t="shared" si="0"/>
        <v/>
      </c>
      <c r="C18" s="50" t="str">
        <f>_xlfn.XLOOKUP(Table3[[#This Row],[AIR]],Errorlog_table[AIR],Errorlog_table[Root_Error],"not found",0)</f>
        <v>not found</v>
      </c>
      <c r="D18" s="42" t="s">
        <v>1014</v>
      </c>
      <c r="E18" s="79" t="str">
        <f>HYPERLINK("https://air.asml.com/u_qm_issues.do?sysparm_query=number="&amp;Table3[[#This Row],[AIR]],Table3[[#This Row],[AIR]])</f>
        <v>P737803</v>
      </c>
      <c r="F18" s="42" t="s">
        <v>1246</v>
      </c>
      <c r="G18" s="42" t="str">
        <f>_xlfn.XLOOKUP(Table3[[#This Row],[AIR]],Errorlog_table[AIR],Errorlog_table[Description],"not found",0)</f>
        <v>not found</v>
      </c>
      <c r="H18" s="48">
        <f>SUMIFS(Errorlog_table[Duration],Errorlog_table[AIR],Table3[[#This Row],[AIR]],Errorlog_table[System],$O$2,Errorlog_table[Year_Week_Number],"&lt;"&amp;($Q$2+1))</f>
        <v>0</v>
      </c>
      <c r="I18" s="46">
        <f>COUNTIFS(Errorlog_table[AIR],Table3[[#This Row],[AIR]],Errorlog_table[System],$O$2,Errorlog_table[Year_Week_Number],"&lt;="&amp;$Q$2)</f>
        <v>0</v>
      </c>
      <c r="J18" s="46">
        <f>COUNTIFS(Errorlog_table[AIR],Table3[[#This Row],[AIR]],Errorlog_table[P_Hits],"Y",Errorlog_table[System],$O$2,Errorlog_table[Year_Week_Number],"&lt;="&amp;$Q$2)</f>
        <v>0</v>
      </c>
      <c r="K18" s="46">
        <f>COUNTIFS(Errorlog_table[AIR],Table3[[#This Row],[AIR]],Errorlog_table[P_Hits],"Y",Errorlog_table[Year_Week_Number],"&gt;="&amp;$P$2,Errorlog_table[Year_Week_Number],"&lt;="&amp;$Q$2,Errorlog_table[System],$O$2)</f>
        <v>0</v>
      </c>
      <c r="L18" s="46">
        <f>COUNTIFS(Errorlog_table[AIR],Table3[[#This Row],[AIR]],Errorlog_table[U_Hits],"Y",Errorlog_table[Year_Week_Number],"&gt;="&amp;$P$2,Errorlog_table[Year_Week_Number],"&lt;="&amp;$Q$2,Errorlog_table[System],$O$2)</f>
        <v>0</v>
      </c>
      <c r="M18" s="46" t="str" cm="1">
        <f t="array" ref="M18">_xlfn.XLOOKUP(1,(Errorlog_table[AIR]=Table3[[#This Row],[AIR]])*(Errorlog_table[System]=$O$2)*(Errorlog_table[Year_Week_Number]&lt;=$Q$2)*(Errorlog_table[U_Hits]="Y"),Errorlog_table[Year_Week_Number],"not found",0,-1)</f>
        <v>not found</v>
      </c>
      <c r="N18" s="76" t="s">
        <v>1283</v>
      </c>
      <c r="O18" s="57" t="s">
        <v>1244</v>
      </c>
      <c r="P18" s="57" t="str">
        <f>IF(Table3[[#This Row],['# of P hits]]&gt;0,IF($Q$1="y",IF(Table3[[#This Row],['# of P hits 4wks]]&gt;0,"y","n"),"y"),"n")</f>
        <v>n</v>
      </c>
      <c r="Q18" s="57" t="str">
        <f>IF(_xlfn.XLOOKUP(D18,Error_Log!O:O,Error_Log!F:F,"not found",0,-1)="not found","not found",IF($Q$2-_xlfn.XLOOKUP(D18,Error_Log!O:O,Error_Log!F:F,"not found",0,-1)&lt;=3,"y","n"))</f>
        <v>not found</v>
      </c>
      <c r="R18" s="72" t="e">
        <f>_xlfn.ISOWEEKNUM(_xlfn.XLOOKUP(D18,#REF!,#REF!,"not found",0))</f>
        <v>#REF!</v>
      </c>
      <c r="S18" s="57" t="str" cm="1">
        <f t="array" ref="S18">IF(_xlfn.XLOOKUP(D18,AIR_dump[[#All],[Number]],AIR_dump[[#All],[T]],"not found",0,1)="","",YEAR(_xlfn.XLOOKUP(D18,AIR_dump[[#All],[Number]],AIR_dump[[#All],[T]],"not found",0,1)))</f>
        <v/>
      </c>
      <c r="T18" s="57" t="str" cm="1">
        <f t="array" ref="T18">IF(_xlfn.XLOOKUP(D18,AIR_dump[[#All],[Number]],AIR_dump[[#All],[T]],"not found",0,1)="","",_xlfn.ISOWEEKNUM(_xlfn.XLOOKUP(D18,AIR_dump[[#All],[Number]],AIR_dump[[#All],[T]],"not found",0,1)))</f>
        <v/>
      </c>
      <c r="U18" s="45" t="str" cm="1">
        <f t="array" ref="U18">IF(_xlfn.XLOOKUP(D18,AIR_dump[[#All],[Number]],AIR_dump[[#All],[T]],"not found",0,1)="","",WEEKDAY(_xlfn.XLOOKUP(D18,AIR_dump[[#All],[Number]],AIR_dump[[#All],[T]],"not found",0,1),2))</f>
        <v/>
      </c>
      <c r="V18" s="50" t="str" cm="1">
        <f t="array" ref="V18">_xlfn.XLOOKUP(D18,AIR_dump[[#All],[Number]],AIR_dump[[#All],[T status]],"not found",0,1)</f>
        <v>Open</v>
      </c>
      <c r="W18" s="42"/>
      <c r="X18" s="79"/>
    </row>
    <row r="19" spans="2:24" ht="40.5">
      <c r="B19" s="45" t="str">
        <f t="shared" si="0"/>
        <v/>
      </c>
      <c r="C19" s="50" t="s">
        <v>187</v>
      </c>
      <c r="D19" s="42" t="s">
        <v>1086</v>
      </c>
      <c r="E19" s="79" t="str">
        <f>HYPERLINK("https://air.asml.com/u_qm_issues.do?sysparm_query=number="&amp;Table3[[#This Row],[AIR]],Table3[[#This Row],[AIR]])</f>
        <v>P724863</v>
      </c>
      <c r="F19" s="42" t="s">
        <v>1247</v>
      </c>
      <c r="G19" s="42" t="s">
        <v>1273</v>
      </c>
      <c r="H19" s="48">
        <f>SUMIFS(Errorlog_table[Duration],Errorlog_table[AIR],Table3[[#This Row],[AIR]],Errorlog_table[System],$O$2,Errorlog_table[Year_Week_Number],"&lt;"&amp;($Q$2+1))</f>
        <v>0</v>
      </c>
      <c r="I19" s="46">
        <f>COUNTIFS(Errorlog_table[AIR],Table3[[#This Row],[AIR]],Errorlog_table[System],$O$2,Errorlog_table[Year_Week_Number],"&lt;="&amp;$Q$2)</f>
        <v>0</v>
      </c>
      <c r="J19" s="46">
        <f>COUNTIFS(Errorlog_table[AIR],Table3[[#This Row],[AIR]],Errorlog_table[P_Hits],"Y",Errorlog_table[System],$O$2,Errorlog_table[Year_Week_Number],"&lt;="&amp;$Q$2)</f>
        <v>0</v>
      </c>
      <c r="K19" s="46">
        <f>COUNTIFS(Errorlog_table[AIR],Table3[[#This Row],[AIR]],Errorlog_table[P_Hits],"Y",Errorlog_table[Year_Week_Number],"&gt;="&amp;$P$2,Errorlog_table[Year_Week_Number],"&lt;="&amp;$Q$2,Errorlog_table[System],$O$2)</f>
        <v>0</v>
      </c>
      <c r="L19" s="46">
        <f>COUNTIFS(Errorlog_table[AIR],Table3[[#This Row],[AIR]],Errorlog_table[U_Hits],"Y",Errorlog_table[Year_Week_Number],"&gt;="&amp;$P$2,Errorlog_table[Year_Week_Number],"&lt;="&amp;$Q$2,Errorlog_table[System],$O$2)</f>
        <v>0</v>
      </c>
      <c r="M19" s="46" t="str" cm="1">
        <f t="array" ref="M19">_xlfn.XLOOKUP(1,(Errorlog_table[AIR]=Table3[[#This Row],[AIR]])*(Errorlog_table[System]=$O$2)*(Errorlog_table[Year_Week_Number]&lt;=$Q$2)*(Errorlog_table[U_Hits]="Y"),Errorlog_table[Year_Week_Number],"not found",0,-1)</f>
        <v>not found</v>
      </c>
      <c r="N19" s="47" t="s">
        <v>1284</v>
      </c>
      <c r="O19" s="57" t="s">
        <v>1244</v>
      </c>
      <c r="P19" s="57" t="str">
        <f>IF(Table3[[#This Row],['# of P hits]]&gt;0,IF($Q$1="y",IF(Table3[[#This Row],['# of P hits 4wks]]&gt;0,"y","n"),"y"),"n")</f>
        <v>n</v>
      </c>
      <c r="Q19" s="57" t="str">
        <f>IF(_xlfn.XLOOKUP(D19,Error_Log!O:O,Error_Log!F:F,"not found",0,-1)="not found","not found",IF($Q$2-_xlfn.XLOOKUP(D19,Error_Log!O:O,Error_Log!F:F,"not found",0,-1)&lt;=3,"y","n"))</f>
        <v>not found</v>
      </c>
      <c r="R19" s="57">
        <v>2448</v>
      </c>
      <c r="S19" s="57" cm="1">
        <f t="array" ref="S19">IF(_xlfn.XLOOKUP(D19,AIR_dump[[#All],[Number]],AIR_dump[[#All],[T]],"not found",0,1)="","",YEAR(_xlfn.XLOOKUP(D19,AIR_dump[[#All],[Number]],AIR_dump[[#All],[T]],"not found",0,1)))</f>
        <v>2024</v>
      </c>
      <c r="T19" s="57" cm="1">
        <f t="array" ref="T19">IF(_xlfn.XLOOKUP(D19,AIR_dump[[#All],[Number]],AIR_dump[[#All],[T]],"not found",0,1)="","",_xlfn.ISOWEEKNUM(_xlfn.XLOOKUP(D19,AIR_dump[[#All],[Number]],AIR_dump[[#All],[T]],"not found",0,1)))</f>
        <v>51</v>
      </c>
      <c r="U19" s="57" cm="1">
        <f t="array" ref="U19">IF(_xlfn.XLOOKUP(D19,AIR_dump[[#All],[Number]],AIR_dump[[#All],[T]],"not found",0,1)="","",WEEKDAY(_xlfn.XLOOKUP(D19,AIR_dump[[#All],[Number]],AIR_dump[[#All],[T]],"not found",0,1),2))</f>
        <v>4</v>
      </c>
      <c r="V19" s="57" t="str" cm="1">
        <f t="array" ref="V19">_xlfn.XLOOKUP(D19,AIR_dump[[#All],[Number]],AIR_dump[[#All],[T status]],"not found",0,1)</f>
        <v>Closed</v>
      </c>
      <c r="W19" s="57"/>
      <c r="X19" s="57"/>
    </row>
    <row r="20" spans="2:24">
      <c r="B20" s="45" t="str">
        <f t="shared" si="0"/>
        <v/>
      </c>
      <c r="C20" s="51" t="s">
        <v>161</v>
      </c>
      <c r="D20" s="42" t="s">
        <v>1175</v>
      </c>
      <c r="E20" s="79" t="str">
        <f>HYPERLINK("https://air.asml.com/u_qm_issues.do?sysparm_query=number="&amp;Table3[[#This Row],[AIR]],Table3[[#This Row],[AIR]])</f>
        <v>P798605</v>
      </c>
      <c r="F20" s="42" t="s">
        <v>1252</v>
      </c>
      <c r="G20" s="40" t="s">
        <v>1285</v>
      </c>
      <c r="H20" s="48">
        <f>SUMIFS(Errorlog_table[Duration],Errorlog_table[AIR],Table3[[#This Row],[AIR]],Errorlog_table[System],$O$2,Errorlog_table[Year_Week_Number],"&lt;"&amp;($Q$2+1))</f>
        <v>0</v>
      </c>
      <c r="I20" s="46">
        <f>COUNTIFS(Errorlog_table[AIR],Table3[[#This Row],[AIR]],Errorlog_table[System],$O$2,Errorlog_table[Year_Week_Number],"&lt;="&amp;$Q$2)</f>
        <v>0</v>
      </c>
      <c r="J20" s="46">
        <f>COUNTIFS(Errorlog_table[AIR],Table3[[#This Row],[AIR]],Errorlog_table[P_Hits],"Y",Errorlog_table[System],$O$2,Errorlog_table[Year_Week_Number],"&lt;="&amp;$Q$2)</f>
        <v>0</v>
      </c>
      <c r="K20" s="46">
        <f>COUNTIFS(Errorlog_table[AIR],Table3[[#This Row],[AIR]],Errorlog_table[P_Hits],"Y",Errorlog_table[Year_Week_Number],"&gt;="&amp;$P$2,Errorlog_table[Year_Week_Number],"&lt;="&amp;$Q$2,Errorlog_table[System],$O$2)</f>
        <v>0</v>
      </c>
      <c r="L20" s="46">
        <f>COUNTIFS(Errorlog_table[AIR],Table3[[#This Row],[AIR]],Errorlog_table[U_Hits],"Y",Errorlog_table[Year_Week_Number],"&gt;="&amp;$P$2,Errorlog_table[Year_Week_Number],"&lt;="&amp;$Q$2,Errorlog_table[System],$O$2)</f>
        <v>0</v>
      </c>
      <c r="M20" s="46" t="str" cm="1">
        <f t="array" ref="M20">_xlfn.XLOOKUP(1,(Errorlog_table[AIR]=Table3[[#This Row],[AIR]])*(Errorlog_table[System]=$O$2)*(Errorlog_table[Year_Week_Number]&lt;=$Q$2)*(Errorlog_table[U_Hits]="Y"),Errorlog_table[Year_Week_Number],"not found",0,-1)</f>
        <v>not found</v>
      </c>
      <c r="N20" s="47" t="s">
        <v>1286</v>
      </c>
      <c r="O20" s="57" t="s">
        <v>1287</v>
      </c>
      <c r="P20" s="57" t="str">
        <f>IF(Table3[[#This Row],['# of P hits]]&gt;0,IF($Q$1="y",IF(Table3[[#This Row],['# of P hits 4wks]]&gt;0,"y","n"),"y"),"n")</f>
        <v>n</v>
      </c>
      <c r="Q20" s="57" t="str">
        <f>IF(_xlfn.XLOOKUP(D20,Error_Log!O:O,Error_Log!F:F,"not found",0,-1)="not found","not found",IF($Q$2-_xlfn.XLOOKUP(D20,Error_Log!O:O,Error_Log!F:F,"not found",0,-1)&lt;=3,"y","n"))</f>
        <v>not found</v>
      </c>
      <c r="R20" s="57">
        <v>2439</v>
      </c>
      <c r="S20" s="57" cm="1">
        <f t="array" ref="S20">IF(_xlfn.XLOOKUP(D20,AIR_dump[[#All],[Number]],AIR_dump[[#All],[T]],"not found",0,1)="","",YEAR(_xlfn.XLOOKUP(D20,AIR_dump[[#All],[Number]],AIR_dump[[#All],[T]],"not found",0,1)))</f>
        <v>2024</v>
      </c>
      <c r="T20" s="57" cm="1">
        <f t="array" ref="T20">IF(_xlfn.XLOOKUP(D20,AIR_dump[[#All],[Number]],AIR_dump[[#All],[T]],"not found",0,1)="","",_xlfn.ISOWEEKNUM(_xlfn.XLOOKUP(D20,AIR_dump[[#All],[Number]],AIR_dump[[#All],[T]],"not found",0,1)))</f>
        <v>36</v>
      </c>
      <c r="U20" s="57" cm="1">
        <f t="array" ref="U20">IF(_xlfn.XLOOKUP(D20,AIR_dump[[#All],[Number]],AIR_dump[[#All],[T]],"not found",0,1)="","",WEEKDAY(_xlfn.XLOOKUP(D20,AIR_dump[[#All],[Number]],AIR_dump[[#All],[T]],"not found",0,1),2))</f>
        <v>4</v>
      </c>
      <c r="V20" s="57" t="str" cm="1">
        <f t="array" ref="V20">_xlfn.XLOOKUP(D20,AIR_dump[[#All],[Number]],AIR_dump[[#All],[T status]],"not found",0,1)</f>
        <v>Closed</v>
      </c>
      <c r="W20" s="57"/>
      <c r="X20" s="57"/>
    </row>
    <row r="21" spans="2:24" ht="27">
      <c r="B21" s="45" t="str">
        <f t="shared" si="0"/>
        <v/>
      </c>
      <c r="C21" s="50" t="s">
        <v>171</v>
      </c>
      <c r="D21" s="42" t="s">
        <v>324</v>
      </c>
      <c r="E21" s="79" t="str">
        <f>HYPERLINK("https://air.asml.com/u_qm_issues.do?sysparm_query=number="&amp;Table3[[#This Row],[AIR]],Table3[[#This Row],[AIR]])</f>
        <v>P732021</v>
      </c>
      <c r="F21" s="42" t="s">
        <v>1252</v>
      </c>
      <c r="G21" s="42" t="s">
        <v>1288</v>
      </c>
      <c r="H21" s="48">
        <f>SUMIFS(Errorlog_table[Duration],Errorlog_table[AIR],Table3[[#This Row],[AIR]],Errorlog_table[System],$O$2,Errorlog_table[Year_Week_Number],"&lt;"&amp;($Q$2+1))</f>
        <v>0</v>
      </c>
      <c r="I21" s="46">
        <f>COUNTIFS(Errorlog_table[AIR],Table3[[#This Row],[AIR]],Errorlog_table[System],$O$2,Errorlog_table[Year_Week_Number],"&lt;="&amp;$Q$2)</f>
        <v>0</v>
      </c>
      <c r="J21" s="46">
        <f>COUNTIFS(Errorlog_table[AIR],Table3[[#This Row],[AIR]],Errorlog_table[P_Hits],"Y",Errorlog_table[System],$O$2,Errorlog_table[Year_Week_Number],"&lt;="&amp;$Q$2)</f>
        <v>0</v>
      </c>
      <c r="K21" s="46">
        <f>COUNTIFS(Errorlog_table[AIR],Table3[[#This Row],[AIR]],Errorlog_table[P_Hits],"Y",Errorlog_table[Year_Week_Number],"&gt;="&amp;$P$2,Errorlog_table[Year_Week_Number],"&lt;="&amp;$Q$2,Errorlog_table[System],$O$2)</f>
        <v>0</v>
      </c>
      <c r="L21" s="46">
        <f>COUNTIFS(Errorlog_table[AIR],Table3[[#This Row],[AIR]],Errorlog_table[U_Hits],"Y",Errorlog_table[Year_Week_Number],"&gt;="&amp;$P$2,Errorlog_table[Year_Week_Number],"&lt;="&amp;$Q$2,Errorlog_table[System],$O$2)</f>
        <v>0</v>
      </c>
      <c r="M21" s="46" t="str" cm="1">
        <f t="array" ref="M21">_xlfn.XLOOKUP(1,(Errorlog_table[AIR]=Table3[[#This Row],[AIR]])*(Errorlog_table[System]=$O$2)*(Errorlog_table[Year_Week_Number]&lt;=$Q$2)*(Errorlog_table[U_Hits]="Y"),Errorlog_table[Year_Week_Number],"not found",0,-1)</f>
        <v>not found</v>
      </c>
      <c r="N21" s="74" t="s">
        <v>1289</v>
      </c>
      <c r="O21" s="57" t="s">
        <v>1282</v>
      </c>
      <c r="P21" s="57" t="str">
        <f>IF(Table3[[#This Row],['# of P hits]]&gt;0,IF($Q$1="y",IF(Table3[[#This Row],['# of P hits 4wks]]&gt;0,"y","n"),"y"),"n")</f>
        <v>n</v>
      </c>
      <c r="Q21" s="57" t="str">
        <f>IF(_xlfn.XLOOKUP(D21,Error_Log!O:O,Error_Log!F:F,"not found",0,-1)="not found","not found",IF($Q$2-_xlfn.XLOOKUP(D21,Error_Log!O:O,Error_Log!F:F,"not found",0,-1)&lt;=3,"y","n"))</f>
        <v>y</v>
      </c>
      <c r="R21" s="57">
        <v>2440</v>
      </c>
      <c r="S21" s="57" cm="1">
        <f t="array" ref="S21">IF(_xlfn.XLOOKUP(D21,AIR_dump[[#All],[Number]],AIR_dump[[#All],[T]],"not found",0,1)="","",YEAR(_xlfn.XLOOKUP(D21,AIR_dump[[#All],[Number]],AIR_dump[[#All],[T]],"not found",0,1)))</f>
        <v>2024</v>
      </c>
      <c r="T21" s="57" cm="1">
        <f t="array" ref="T21">IF(_xlfn.XLOOKUP(D21,AIR_dump[[#All],[Number]],AIR_dump[[#All],[T]],"not found",0,1)="","",_xlfn.ISOWEEKNUM(_xlfn.XLOOKUP(D21,AIR_dump[[#All],[Number]],AIR_dump[[#All],[T]],"not found",0,1)))</f>
        <v>48</v>
      </c>
      <c r="U21" s="57" cm="1">
        <f t="array" ref="U21">IF(_xlfn.XLOOKUP(D21,AIR_dump[[#All],[Number]],AIR_dump[[#All],[T]],"not found",0,1)="","",WEEKDAY(_xlfn.XLOOKUP(D21,AIR_dump[[#All],[Number]],AIR_dump[[#All],[T]],"not found",0,1),2))</f>
        <v>5</v>
      </c>
      <c r="V21" s="57" t="str" cm="1">
        <f t="array" ref="V21">_xlfn.XLOOKUP(D21,AIR_dump[[#All],[Number]],AIR_dump[[#All],[T status]],"not found",0,1)</f>
        <v>Closed</v>
      </c>
      <c r="W21" s="57"/>
      <c r="X21" s="57"/>
    </row>
    <row r="22" spans="2:24" ht="27">
      <c r="B22" s="45" t="str">
        <f t="shared" si="0"/>
        <v/>
      </c>
      <c r="C22" s="50" t="s">
        <v>168</v>
      </c>
      <c r="D22" s="42" t="s">
        <v>1290</v>
      </c>
      <c r="E22" s="79" t="str">
        <f>HYPERLINK("https://air.asml.com/u_qm_issues.do?sysparm_query=number="&amp;Table3[[#This Row],[AIR]],Table3[[#This Row],[AIR]])</f>
        <v>P812229</v>
      </c>
      <c r="F22" s="42" t="s">
        <v>1250</v>
      </c>
      <c r="G22" s="40" t="s">
        <v>1291</v>
      </c>
      <c r="H22" s="48">
        <f>SUMIFS(Errorlog_table[Duration],Errorlog_table[AIR],Table3[[#This Row],[AIR]],Errorlog_table[System],$O$2,Errorlog_table[Year_Week_Number],"&lt;"&amp;($Q$2+1))</f>
        <v>0</v>
      </c>
      <c r="I22" s="46">
        <f>COUNTIFS(Errorlog_table[AIR],Table3[[#This Row],[AIR]],Errorlog_table[System],$O$2,Errorlog_table[Year_Week_Number],"&lt;="&amp;$Q$2)</f>
        <v>0</v>
      </c>
      <c r="J22" s="46">
        <f>COUNTIFS(Errorlog_table[AIR],Table3[[#This Row],[AIR]],Errorlog_table[P_Hits],"Y",Errorlog_table[System],$O$2,Errorlog_table[Year_Week_Number],"&lt;="&amp;$Q$2)</f>
        <v>0</v>
      </c>
      <c r="K22" s="46">
        <f>COUNTIFS(Errorlog_table[AIR],Table3[[#This Row],[AIR]],Errorlog_table[P_Hits],"Y",Errorlog_table[Year_Week_Number],"&gt;="&amp;$P$2,Errorlog_table[Year_Week_Number],"&lt;="&amp;$Q$2,Errorlog_table[System],$O$2)</f>
        <v>0</v>
      </c>
      <c r="L22" s="46">
        <f>COUNTIFS(Errorlog_table[AIR],Table3[[#This Row],[AIR]],Errorlog_table[U_Hits],"Y",Errorlog_table[Year_Week_Number],"&gt;="&amp;$P$2,Errorlog_table[Year_Week_Number],"&lt;="&amp;$Q$2,Errorlog_table[System],$O$2)</f>
        <v>0</v>
      </c>
      <c r="M22" s="46" t="str" cm="1">
        <f t="array" ref="M22">_xlfn.XLOOKUP(1,(Errorlog_table[AIR]=Table3[[#This Row],[AIR]])*(Errorlog_table[System]=$O$2)*(Errorlog_table[Year_Week_Number]&lt;=$Q$2)*(Errorlog_table[U_Hits]="Y"),Errorlog_table[Year_Week_Number],"not found",0,-1)</f>
        <v>not found</v>
      </c>
      <c r="N22" s="47" t="s">
        <v>1292</v>
      </c>
      <c r="O22" s="57" t="s">
        <v>1267</v>
      </c>
      <c r="P22" s="57" t="str">
        <f>IF(Table3[[#This Row],['# of P hits]]&gt;0,IF($Q$1="y",IF(Table3[[#This Row],['# of P hits 4wks]]&gt;0,"y","n"),"y"),"n")</f>
        <v>n</v>
      </c>
      <c r="Q22" s="57" t="str">
        <f>IF(_xlfn.XLOOKUP(D22,Error_Log!O:O,Error_Log!F:F,"not found",0,-1)="not found","not found",IF($Q$2-_xlfn.XLOOKUP(D22,Error_Log!O:O,Error_Log!F:F,"not found",0,-1)&lt;=3,"y","n"))</f>
        <v>not found</v>
      </c>
      <c r="R22" s="57">
        <v>2435</v>
      </c>
      <c r="S22" s="57" cm="1">
        <f t="array" ref="S22">IF(_xlfn.XLOOKUP(D22,AIR_dump[[#All],[Number]],AIR_dump[[#All],[T]],"not found",0,1)="","",YEAR(_xlfn.XLOOKUP(D22,AIR_dump[[#All],[Number]],AIR_dump[[#All],[T]],"not found",0,1)))</f>
        <v>2024</v>
      </c>
      <c r="T22" s="57" cm="1">
        <f t="array" ref="T22">IF(_xlfn.XLOOKUP(D22,AIR_dump[[#All],[Number]],AIR_dump[[#All],[T]],"not found",0,1)="","",_xlfn.ISOWEEKNUM(_xlfn.XLOOKUP(D22,AIR_dump[[#All],[Number]],AIR_dump[[#All],[T]],"not found",0,1)))</f>
        <v>38</v>
      </c>
      <c r="U22" s="57" cm="1">
        <f t="array" ref="U22">IF(_xlfn.XLOOKUP(D22,AIR_dump[[#All],[Number]],AIR_dump[[#All],[T]],"not found",0,1)="","",WEEKDAY(_xlfn.XLOOKUP(D22,AIR_dump[[#All],[Number]],AIR_dump[[#All],[T]],"not found",0,1),2))</f>
        <v>4</v>
      </c>
      <c r="V22" s="57" t="str" cm="1">
        <f t="array" ref="V22">_xlfn.XLOOKUP(D22,AIR_dump[[#All],[Number]],AIR_dump[[#All],[T status]],"not found",0,1)</f>
        <v>Closed</v>
      </c>
      <c r="W22" s="57"/>
      <c r="X22" s="57"/>
    </row>
    <row r="23" spans="2:24" ht="27">
      <c r="B23" s="45" t="str">
        <f t="shared" si="0"/>
        <v/>
      </c>
      <c r="C23" s="51" t="s">
        <v>1163</v>
      </c>
      <c r="D23" s="42" t="s">
        <v>1293</v>
      </c>
      <c r="E23" s="79" t="str">
        <f>HYPERLINK("https://air.asml.com/u_qm_issues.do?sysparm_query=number="&amp;Table3[[#This Row],[AIR]],Table3[[#This Row],[AIR]])</f>
        <v>P790869</v>
      </c>
      <c r="F23" s="42" t="s">
        <v>1252</v>
      </c>
      <c r="G23" s="40" t="s">
        <v>1294</v>
      </c>
      <c r="H23" s="48">
        <f>SUMIFS(Errorlog_table[Duration],Errorlog_table[AIR],Table3[[#This Row],[AIR]],Errorlog_table[System],$O$2,Errorlog_table[Year_Week_Number],"&lt;"&amp;($Q$2+1))</f>
        <v>0</v>
      </c>
      <c r="I23" s="46">
        <f>COUNTIFS(Errorlog_table[AIR],Table3[[#This Row],[AIR]],Errorlog_table[System],$O$2,Errorlog_table[Year_Week_Number],"&lt;="&amp;$Q$2)</f>
        <v>0</v>
      </c>
      <c r="J23" s="46">
        <f>COUNTIFS(Errorlog_table[AIR],Table3[[#This Row],[AIR]],Errorlog_table[P_Hits],"Y",Errorlog_table[System],$O$2,Errorlog_table[Year_Week_Number],"&lt;="&amp;$Q$2)</f>
        <v>0</v>
      </c>
      <c r="K23" s="46">
        <f>COUNTIFS(Errorlog_table[AIR],Table3[[#This Row],[AIR]],Errorlog_table[P_Hits],"Y",Errorlog_table[Year_Week_Number],"&gt;="&amp;$P$2,Errorlog_table[Year_Week_Number],"&lt;="&amp;$Q$2,Errorlog_table[System],$O$2)</f>
        <v>0</v>
      </c>
      <c r="L23" s="46">
        <f>COUNTIFS(Errorlog_table[AIR],Table3[[#This Row],[AIR]],Errorlog_table[U_Hits],"Y",Errorlog_table[Year_Week_Number],"&gt;="&amp;$P$2,Errorlog_table[Year_Week_Number],"&lt;="&amp;$Q$2,Errorlog_table[System],$O$2)</f>
        <v>0</v>
      </c>
      <c r="M23" s="46" t="str" cm="1">
        <f t="array" ref="M23">_xlfn.XLOOKUP(1,(Errorlog_table[AIR]=Table3[[#This Row],[AIR]])*(Errorlog_table[System]=$O$2)*(Errorlog_table[Year_Week_Number]&lt;=$Q$2)*(Errorlog_table[U_Hits]="Y"),Errorlog_table[Year_Week_Number],"not found",0,-1)</f>
        <v>not found</v>
      </c>
      <c r="N23" s="47" t="s">
        <v>1295</v>
      </c>
      <c r="O23" s="57" t="s">
        <v>1287</v>
      </c>
      <c r="P23" s="57" t="str">
        <f>IF(Table3[[#This Row],['# of P hits]]&gt;0,IF($Q$1="y",IF(Table3[[#This Row],['# of P hits 4wks]]&gt;0,"y","n"),"y"),"n")</f>
        <v>n</v>
      </c>
      <c r="Q23" s="57" t="str">
        <f>IF(_xlfn.XLOOKUP(D23,Error_Log!O:O,Error_Log!F:F,"not found",0,-1)="not found","not found",IF($Q$2-_xlfn.XLOOKUP(D23,Error_Log!O:O,Error_Log!F:F,"not found",0,-1)&lt;=3,"y","n"))</f>
        <v>not found</v>
      </c>
      <c r="R23" s="57">
        <v>2432</v>
      </c>
      <c r="S23" s="57" cm="1">
        <f t="array" ref="S23">IF(_xlfn.XLOOKUP(D23,AIR_dump[[#All],[Number]],AIR_dump[[#All],[T]],"not found",0,1)="","",YEAR(_xlfn.XLOOKUP(D23,AIR_dump[[#All],[Number]],AIR_dump[[#All],[T]],"not found",0,1)))</f>
        <v>2024</v>
      </c>
      <c r="T23" s="57" cm="1">
        <f t="array" ref="T23">IF(_xlfn.XLOOKUP(D23,AIR_dump[[#All],[Number]],AIR_dump[[#All],[T]],"not found",0,1)="","",_xlfn.ISOWEEKNUM(_xlfn.XLOOKUP(D23,AIR_dump[[#All],[Number]],AIR_dump[[#All],[T]],"not found",0,1)))</f>
        <v>30</v>
      </c>
      <c r="U23" s="57" cm="1">
        <f t="array" ref="U23">IF(_xlfn.XLOOKUP(D23,AIR_dump[[#All],[Number]],AIR_dump[[#All],[T]],"not found",0,1)="","",WEEKDAY(_xlfn.XLOOKUP(D23,AIR_dump[[#All],[Number]],AIR_dump[[#All],[T]],"not found",0,1),2))</f>
        <v>4</v>
      </c>
      <c r="V23" s="57" t="str" cm="1">
        <f t="array" ref="V23">_xlfn.XLOOKUP(D23,AIR_dump[[#All],[Number]],AIR_dump[[#All],[T status]],"not found",0,1)</f>
        <v>Closed</v>
      </c>
      <c r="W23" s="57"/>
      <c r="X23" s="57"/>
    </row>
    <row r="24" spans="2:24">
      <c r="B24" s="45" t="str">
        <f t="shared" si="0"/>
        <v/>
      </c>
      <c r="C24" s="51" t="s">
        <v>177</v>
      </c>
      <c r="D24" s="42" t="s">
        <v>1296</v>
      </c>
      <c r="E24" s="79" t="str">
        <f>HYPERLINK("https://air.asml.com/u_qm_issues.do?sysparm_query=number="&amp;Table3[[#This Row],[AIR]],Table3[[#This Row],[AIR]])</f>
        <v>P800996</v>
      </c>
      <c r="F24" s="42" t="s">
        <v>1252</v>
      </c>
      <c r="G24" s="40" t="s">
        <v>1297</v>
      </c>
      <c r="H24" s="48">
        <f>SUMIFS(Errorlog_table[Duration],Errorlog_table[AIR],Table3[[#This Row],[AIR]],Errorlog_table[System],$O$2,Errorlog_table[Year_Week_Number],"&lt;"&amp;($Q$2+1))</f>
        <v>0</v>
      </c>
      <c r="I24" s="46">
        <f>COUNTIFS(Errorlog_table[AIR],Table3[[#This Row],[AIR]],Errorlog_table[System],$O$2,Errorlog_table[Year_Week_Number],"&lt;="&amp;$Q$2)</f>
        <v>0</v>
      </c>
      <c r="J24" s="46">
        <f>COUNTIFS(Errorlog_table[AIR],Table3[[#This Row],[AIR]],Errorlog_table[P_Hits],"Y",Errorlog_table[System],$O$2,Errorlog_table[Year_Week_Number],"&lt;="&amp;$Q$2)</f>
        <v>0</v>
      </c>
      <c r="K24" s="46">
        <f>COUNTIFS(Errorlog_table[AIR],Table3[[#This Row],[AIR]],Errorlog_table[P_Hits],"Y",Errorlog_table[Year_Week_Number],"&gt;="&amp;$P$2,Errorlog_table[Year_Week_Number],"&lt;="&amp;$Q$2,Errorlog_table[System],$O$2)</f>
        <v>0</v>
      </c>
      <c r="L24" s="46">
        <f>COUNTIFS(Errorlog_table[AIR],Table3[[#This Row],[AIR]],Errorlog_table[U_Hits],"Y",Errorlog_table[Year_Week_Number],"&gt;="&amp;$P$2,Errorlog_table[Year_Week_Number],"&lt;="&amp;$Q$2,Errorlog_table[System],$O$2)</f>
        <v>0</v>
      </c>
      <c r="M24" s="46" t="str" cm="1">
        <f t="array" ref="M24">_xlfn.XLOOKUP(1,(Errorlog_table[AIR]=Table3[[#This Row],[AIR]])*(Errorlog_table[System]=$O$2)*(Errorlog_table[Year_Week_Number]&lt;=$Q$2)*(Errorlog_table[U_Hits]="Y"),Errorlog_table[Year_Week_Number],"not found",0,-1)</f>
        <v>not found</v>
      </c>
      <c r="N24" s="47" t="s">
        <v>1298</v>
      </c>
      <c r="O24" s="57" t="s">
        <v>1287</v>
      </c>
      <c r="P24" s="57" t="str">
        <f>IF(Table3[[#This Row],['# of P hits]]&gt;0,IF($Q$1="y",IF(Table3[[#This Row],['# of P hits 4wks]]&gt;0,"y","n"),"y"),"n")</f>
        <v>n</v>
      </c>
      <c r="Q24" s="57" t="str">
        <f>IF(_xlfn.XLOOKUP(D24,Error_Log!O:O,Error_Log!F:F,"not found",0,-1)="not found","not found",IF($Q$2-_xlfn.XLOOKUP(D24,Error_Log!O:O,Error_Log!F:F,"not found",0,-1)&lt;=3,"y","n"))</f>
        <v>not found</v>
      </c>
      <c r="R24" s="57">
        <v>2436</v>
      </c>
      <c r="S24" s="57" cm="1">
        <f t="array" ref="S24">IF(_xlfn.XLOOKUP(D24,AIR_dump[[#All],[Number]],AIR_dump[[#All],[T]],"not found",0,1)="","",YEAR(_xlfn.XLOOKUP(D24,AIR_dump[[#All],[Number]],AIR_dump[[#All],[T]],"not found",0,1)))</f>
        <v>2024</v>
      </c>
      <c r="T24" s="57" cm="1">
        <f t="array" ref="T24">IF(_xlfn.XLOOKUP(D24,AIR_dump[[#All],[Number]],AIR_dump[[#All],[T]],"not found",0,1)="","",_xlfn.ISOWEEKNUM(_xlfn.XLOOKUP(D24,AIR_dump[[#All],[Number]],AIR_dump[[#All],[T]],"not found",0,1)))</f>
        <v>35</v>
      </c>
      <c r="U24" s="57" cm="1">
        <f t="array" ref="U24">IF(_xlfn.XLOOKUP(D24,AIR_dump[[#All],[Number]],AIR_dump[[#All],[T]],"not found",0,1)="","",WEEKDAY(_xlfn.XLOOKUP(D24,AIR_dump[[#All],[Number]],AIR_dump[[#All],[T]],"not found",0,1),2))</f>
        <v>3</v>
      </c>
      <c r="V24" s="57" t="str" cm="1">
        <f t="array" ref="V24">_xlfn.XLOOKUP(D24,AIR_dump[[#All],[Number]],AIR_dump[[#All],[T status]],"not found",0,1)</f>
        <v>Closed</v>
      </c>
      <c r="W24" s="57"/>
      <c r="X24" s="57"/>
    </row>
    <row r="25" spans="2:24" ht="27.75">
      <c r="B25" s="45" t="str">
        <f t="shared" si="0"/>
        <v/>
      </c>
      <c r="C25" s="50" t="str">
        <f>_xlfn.XLOOKUP(Table3[[#This Row],[AIR]],Errorlog_table[AIR],Errorlog_table[Root_Error],"not found",0)</f>
        <v>not found</v>
      </c>
      <c r="D25" s="42" t="s">
        <v>1102</v>
      </c>
      <c r="E25" s="79" t="str">
        <f>HYPERLINK("https://air.asml.com/u_qm_issues.do?sysparm_query=number="&amp;Table3[[#This Row],[AIR]],Table3[[#This Row],[AIR]])</f>
        <v>P812023</v>
      </c>
      <c r="F25" s="42" t="s">
        <v>1246</v>
      </c>
      <c r="G25" s="42" t="str">
        <f>_xlfn.XLOOKUP(Table3[[#This Row],[AIR]],Errorlog_table[AIR],Errorlog_table[Description],"not found",0)</f>
        <v>not found</v>
      </c>
      <c r="H25" s="48">
        <f>SUMIFS(Errorlog_table[Duration],Errorlog_table[AIR],Table3[[#This Row],[AIR]],Errorlog_table[System],$O$2,Errorlog_table[Year_Week_Number],"&lt;"&amp;($Q$2+1))</f>
        <v>0</v>
      </c>
      <c r="I25" s="46">
        <f>COUNTIFS(Errorlog_table[AIR],Table3[[#This Row],[AIR]],Errorlog_table[System],$O$2,Errorlog_table[Year_Week_Number],"&lt;="&amp;$Q$2)</f>
        <v>0</v>
      </c>
      <c r="J25" s="46">
        <f>COUNTIFS(Errorlog_table[AIR],Table3[[#This Row],[AIR]],Errorlog_table[P_Hits],"Y",Errorlog_table[System],$O$2,Errorlog_table[Year_Week_Number],"&lt;="&amp;$Q$2)</f>
        <v>0</v>
      </c>
      <c r="K25" s="46">
        <f>COUNTIFS(Errorlog_table[AIR],Table3[[#This Row],[AIR]],Errorlog_table[P_Hits],"Y",Errorlog_table[Year_Week_Number],"&gt;="&amp;$P$2,Errorlog_table[Year_Week_Number],"&lt;="&amp;$Q$2,Errorlog_table[System],$O$2)</f>
        <v>0</v>
      </c>
      <c r="L25" s="46">
        <f>COUNTIFS(Errorlog_table[AIR],Table3[[#This Row],[AIR]],Errorlog_table[U_Hits],"Y",Errorlog_table[Year_Week_Number],"&gt;="&amp;$P$2,Errorlog_table[Year_Week_Number],"&lt;="&amp;$Q$2,Errorlog_table[System],$O$2)</f>
        <v>0</v>
      </c>
      <c r="M25" s="46" t="str" cm="1">
        <f t="array" ref="M25">_xlfn.XLOOKUP(1,(Errorlog_table[AIR]=Table3[[#This Row],[AIR]])*(Errorlog_table[System]=$O$2)*(Errorlog_table[Year_Week_Number]&lt;=$Q$2)*(Errorlog_table[U_Hits]="Y"),Errorlog_table[Year_Week_Number],"not found",0,-1)</f>
        <v>not found</v>
      </c>
      <c r="N25" s="76" t="s">
        <v>1299</v>
      </c>
      <c r="O25" s="57" t="s">
        <v>1244</v>
      </c>
      <c r="P25" s="57" t="str">
        <f>IF(Table3[[#This Row],['# of P hits]]&gt;0,IF($Q$1="y",IF(Table3[[#This Row],['# of P hits 4wks]]&gt;0,"y","n"),"y"),"n")</f>
        <v>n</v>
      </c>
      <c r="Q25" s="57" t="str">
        <f>IF(_xlfn.XLOOKUP(D25,Error_Log!O:O,Error_Log!F:F,"not found",0,-1)="not found","not found",IF($Q$2-_xlfn.XLOOKUP(D25,Error_Log!O:O,Error_Log!F:F,"not found",0,-1)&lt;=3,"y","n"))</f>
        <v>not found</v>
      </c>
      <c r="R25" s="57">
        <v>2446</v>
      </c>
      <c r="S25" s="57" cm="1">
        <f t="array" ref="S25">IF(_xlfn.XLOOKUP(D25,AIR_dump[[#All],[Number]],AIR_dump[[#All],[T]],"not found",0,1)="","",YEAR(_xlfn.XLOOKUP(D25,AIR_dump[[#All],[Number]],AIR_dump[[#All],[T]],"not found",0,1)))</f>
        <v>2024</v>
      </c>
      <c r="T25" s="57" cm="1">
        <f t="array" ref="T25">IF(_xlfn.XLOOKUP(D25,AIR_dump[[#All],[Number]],AIR_dump[[#All],[T]],"not found",0,1)="","",_xlfn.ISOWEEKNUM(_xlfn.XLOOKUP(D25,AIR_dump[[#All],[Number]],AIR_dump[[#All],[T]],"not found",0,1)))</f>
        <v>47</v>
      </c>
      <c r="U25" s="57" cm="1">
        <f t="array" ref="U25">IF(_xlfn.XLOOKUP(D25,AIR_dump[[#All],[Number]],AIR_dump[[#All],[T]],"not found",0,1)="","",WEEKDAY(_xlfn.XLOOKUP(D25,AIR_dump[[#All],[Number]],AIR_dump[[#All],[T]],"not found",0,1),2))</f>
        <v>5</v>
      </c>
      <c r="V25" s="57" t="str" cm="1">
        <f t="array" ref="V25">_xlfn.XLOOKUP(D25,AIR_dump[[#All],[Number]],AIR_dump[[#All],[T status]],"not found",0,1)</f>
        <v>Closed</v>
      </c>
      <c r="W25" s="57"/>
      <c r="X25" s="57"/>
    </row>
    <row r="26" spans="2:24" ht="54">
      <c r="B26" s="45" t="str">
        <f t="shared" si="0"/>
        <v/>
      </c>
      <c r="C26" s="50" t="s">
        <v>189</v>
      </c>
      <c r="D26" s="42" t="s">
        <v>1010</v>
      </c>
      <c r="E26" s="79" t="str">
        <f>HYPERLINK("https://air.asml.com/u_qm_issues.do?sysparm_query=number="&amp;Table3[[#This Row],[AIR]],Table3[[#This Row],[AIR]])</f>
        <v>P815534</v>
      </c>
      <c r="F26" s="42" t="s">
        <v>1246</v>
      </c>
      <c r="G26" s="42" t="s">
        <v>1300</v>
      </c>
      <c r="H26" s="48">
        <f>SUMIFS(Errorlog_table[Duration],Errorlog_table[AIR],Table3[[#This Row],[AIR]],Errorlog_table[System],$O$2,Errorlog_table[Year_Week_Number],"&lt;"&amp;($Q$2+1))</f>
        <v>0</v>
      </c>
      <c r="I26" s="46">
        <f>COUNTIFS(Errorlog_table[AIR],Table3[[#This Row],[AIR]],Errorlog_table[System],$O$2,Errorlog_table[Year_Week_Number],"&lt;="&amp;$Q$2)</f>
        <v>0</v>
      </c>
      <c r="J26" s="46">
        <f>COUNTIFS(Errorlog_table[AIR],Table3[[#This Row],[AIR]],Errorlog_table[P_Hits],"Y",Errorlog_table[System],$O$2,Errorlog_table[Year_Week_Number],"&lt;="&amp;$Q$2)</f>
        <v>0</v>
      </c>
      <c r="K26" s="46">
        <f>COUNTIFS(Errorlog_table[AIR],Table3[[#This Row],[AIR]],Errorlog_table[P_Hits],"Y",Errorlog_table[Year_Week_Number],"&gt;="&amp;$P$2,Errorlog_table[Year_Week_Number],"&lt;="&amp;$Q$2,Errorlog_table[System],$O$2)</f>
        <v>0</v>
      </c>
      <c r="L26" s="46">
        <f>COUNTIFS(Errorlog_table[AIR],Table3[[#This Row],[AIR]],Errorlog_table[U_Hits],"Y",Errorlog_table[Year_Week_Number],"&gt;="&amp;$P$2,Errorlog_table[Year_Week_Number],"&lt;="&amp;$Q$2,Errorlog_table[System],$O$2)</f>
        <v>0</v>
      </c>
      <c r="M26" s="46" t="str" cm="1">
        <f t="array" ref="M26">_xlfn.XLOOKUP(1,(Errorlog_table[AIR]=Table3[[#This Row],[AIR]])*(Errorlog_table[System]=$O$2)*(Errorlog_table[Year_Week_Number]&lt;=$Q$2)*(Errorlog_table[U_Hits]="Y"),Errorlog_table[Year_Week_Number],"not found",0,-1)</f>
        <v>not found</v>
      </c>
      <c r="N26" s="73" t="s">
        <v>1301</v>
      </c>
      <c r="O26" s="57" t="s">
        <v>1244</v>
      </c>
      <c r="P26" s="57" t="str">
        <f>IF(Table3[[#This Row],['# of P hits]]&gt;0,IF($Q$1="y",IF(Table3[[#This Row],['# of P hits 4wks]]&gt;0,"y","n"),"y"),"n")</f>
        <v>n</v>
      </c>
      <c r="Q26" s="57" t="str">
        <f>IF(_xlfn.XLOOKUP(D26,Error_Log!O:O,Error_Log!F:F,"not found",0,-1)="not found","not found",IF($Q$2-_xlfn.XLOOKUP(D26,Error_Log!O:O,Error_Log!F:F,"not found",0,-1)&lt;=3,"y","n"))</f>
        <v>not found</v>
      </c>
      <c r="R26" s="57" t="s">
        <v>1161</v>
      </c>
      <c r="S26" s="57" cm="1">
        <f t="array" ref="S26">IF(_xlfn.XLOOKUP(D26,AIR_dump[[#All],[Number]],AIR_dump[[#All],[T]],"not found",0,1)="","",YEAR(_xlfn.XLOOKUP(D26,AIR_dump[[#All],[Number]],AIR_dump[[#All],[T]],"not found",0,1)))</f>
        <v>2024</v>
      </c>
      <c r="T26" s="57" cm="1">
        <f t="array" ref="T26">IF(_xlfn.XLOOKUP(D26,AIR_dump[[#All],[Number]],AIR_dump[[#All],[T]],"not found",0,1)="","",_xlfn.ISOWEEKNUM(_xlfn.XLOOKUP(D26,AIR_dump[[#All],[Number]],AIR_dump[[#All],[T]],"not found",0,1)))</f>
        <v>52</v>
      </c>
      <c r="U26" s="57" cm="1">
        <f t="array" ref="U26">IF(_xlfn.XLOOKUP(D26,AIR_dump[[#All],[Number]],AIR_dump[[#All],[T]],"not found",0,1)="","",WEEKDAY(_xlfn.XLOOKUP(D26,AIR_dump[[#All],[Number]],AIR_dump[[#All],[T]],"not found",0,1),2))</f>
        <v>4</v>
      </c>
      <c r="V26" s="57" t="str" cm="1">
        <f t="array" ref="V26">_xlfn.XLOOKUP(D26,AIR_dump[[#All],[Number]],AIR_dump[[#All],[T status]],"not found",0,1)</f>
        <v>Closed</v>
      </c>
      <c r="W26" s="57"/>
      <c r="X26" s="57"/>
    </row>
    <row r="27" spans="2:24" ht="54">
      <c r="B27" s="45" t="str">
        <f t="shared" si="0"/>
        <v/>
      </c>
      <c r="C27" s="50" t="s">
        <v>169</v>
      </c>
      <c r="D27" s="42" t="s">
        <v>1302</v>
      </c>
      <c r="E27" s="79" t="str">
        <f>HYPERLINK("https://air.asml.com/u_qm_issues.do?sysparm_query=number="&amp;Table3[[#This Row],[AIR]],Table3[[#This Row],[AIR]])</f>
        <v>P817307</v>
      </c>
      <c r="F27" s="42" t="s">
        <v>1252</v>
      </c>
      <c r="G27" s="42" t="s">
        <v>1303</v>
      </c>
      <c r="H27" s="48">
        <f>SUMIFS(Errorlog_table[Duration],Errorlog_table[AIR],Table3[[#This Row],[AIR]],Errorlog_table[System],$O$2,Errorlog_table[Year_Week_Number],"&lt;"&amp;($Q$2+1))</f>
        <v>0</v>
      </c>
      <c r="I27" s="46">
        <f>COUNTIFS(Errorlog_table[AIR],Table3[[#This Row],[AIR]],Errorlog_table[System],$O$2,Errorlog_table[Year_Week_Number],"&lt;="&amp;$Q$2)</f>
        <v>0</v>
      </c>
      <c r="J27" s="46">
        <f>COUNTIFS(Errorlog_table[AIR],Table3[[#This Row],[AIR]],Errorlog_table[P_Hits],"Y",Errorlog_table[System],$O$2,Errorlog_table[Year_Week_Number],"&lt;="&amp;$Q$2)</f>
        <v>0</v>
      </c>
      <c r="K27" s="46">
        <f>COUNTIFS(Errorlog_table[AIR],Table3[[#This Row],[AIR]],Errorlog_table[P_Hits],"Y",Errorlog_table[Year_Week_Number],"&gt;="&amp;$P$2,Errorlog_table[Year_Week_Number],"&lt;="&amp;$Q$2,Errorlog_table[System],$O$2)</f>
        <v>0</v>
      </c>
      <c r="L27" s="46">
        <f>COUNTIFS(Errorlog_table[AIR],Table3[[#This Row],[AIR]],Errorlog_table[U_Hits],"Y",Errorlog_table[Year_Week_Number],"&gt;="&amp;$P$2,Errorlog_table[Year_Week_Number],"&lt;="&amp;$Q$2,Errorlog_table[System],$O$2)</f>
        <v>0</v>
      </c>
      <c r="M27" s="46" t="str" cm="1">
        <f t="array" ref="M27">_xlfn.XLOOKUP(1,(Errorlog_table[AIR]=Table3[[#This Row],[AIR]])*(Errorlog_table[System]=$O$2)*(Errorlog_table[Year_Week_Number]&lt;=$Q$2)*(Errorlog_table[U_Hits]="Y"),Errorlog_table[Year_Week_Number],"not found",0,-1)</f>
        <v>not found</v>
      </c>
      <c r="N27" s="47" t="s">
        <v>1304</v>
      </c>
      <c r="O27" s="57" t="s">
        <v>1305</v>
      </c>
      <c r="P27" s="57" t="str">
        <f>IF(Table3[[#This Row],['# of P hits]]&gt;0,IF($Q$1="y",IF(Table3[[#This Row],['# of P hits 4wks]]&gt;0,"y","n"),"y"),"n")</f>
        <v>n</v>
      </c>
      <c r="Q27" s="57" t="str">
        <f>IF(_xlfn.XLOOKUP(D27,Error_Log!O:O,Error_Log!F:F,"not found",0,-1)="not found","not found",IF($Q$2-_xlfn.XLOOKUP(D27,Error_Log!O:O,Error_Log!F:F,"not found",0,-1)&lt;=3,"y","n"))</f>
        <v>not found</v>
      </c>
      <c r="R27" s="57" t="s">
        <v>1161</v>
      </c>
      <c r="S27" s="57" t="str" cm="1">
        <f t="array" ref="S27">IF(_xlfn.XLOOKUP(D27,AIR_dump[[#All],[Number]],AIR_dump[[#All],[T]],"not found",0,1)="","",YEAR(_xlfn.XLOOKUP(D27,AIR_dump[[#All],[Number]],AIR_dump[[#All],[T]],"not found",0,1)))</f>
        <v/>
      </c>
      <c r="T27" s="57" t="str" cm="1">
        <f t="array" ref="T27">IF(_xlfn.XLOOKUP(D27,AIR_dump[[#All],[Number]],AIR_dump[[#All],[T]],"not found",0,1)="","",_xlfn.ISOWEEKNUM(_xlfn.XLOOKUP(D27,AIR_dump[[#All],[Number]],AIR_dump[[#All],[T]],"not found",0,1)))</f>
        <v/>
      </c>
      <c r="U27" s="57" t="str" cm="1">
        <f t="array" ref="U27">IF(_xlfn.XLOOKUP(D27,AIR_dump[[#All],[Number]],AIR_dump[[#All],[T]],"not found",0,1)="","",WEEKDAY(_xlfn.XLOOKUP(D27,AIR_dump[[#All],[Number]],AIR_dump[[#All],[T]],"not found",0,1),2))</f>
        <v/>
      </c>
      <c r="V27" s="57" t="str" cm="1">
        <f t="array" ref="V27">_xlfn.XLOOKUP(D27,AIR_dump[[#All],[Number]],AIR_dump[[#All],[T status]],"not found",0,1)</f>
        <v>Open</v>
      </c>
      <c r="W27" s="57"/>
      <c r="X27" s="57"/>
    </row>
    <row r="28" spans="2:24" ht="41.25">
      <c r="B28" s="45" t="str">
        <f t="shared" si="0"/>
        <v/>
      </c>
      <c r="C28" s="50" t="str">
        <f>_xlfn.XLOOKUP(Table3[[#This Row],[AIR]],Errorlog_table[AIR],Errorlog_table[Root_Error],"not found",0)</f>
        <v>not found</v>
      </c>
      <c r="D28" s="42" t="s">
        <v>1095</v>
      </c>
      <c r="E28" s="79" t="str">
        <f>HYPERLINK("https://air.asml.com/u_qm_issues.do?sysparm_query=number="&amp;Table3[[#This Row],[AIR]],Table3[[#This Row],[AIR]])</f>
        <v>P831642</v>
      </c>
      <c r="F28" s="42" t="s">
        <v>1246</v>
      </c>
      <c r="G28" s="42" t="str">
        <f>_xlfn.XLOOKUP(Table3[[#This Row],[AIR]],Errorlog_table[AIR],Errorlog_table[Description],"not found",0)</f>
        <v>not found</v>
      </c>
      <c r="H28" s="48">
        <f>SUMIFS(Errorlog_table[Duration],Errorlog_table[AIR],Table3[[#This Row],[AIR]],Errorlog_table[System],$O$2,Errorlog_table[Year_Week_Number],"&lt;"&amp;($Q$2+1))</f>
        <v>0</v>
      </c>
      <c r="I28" s="46">
        <f>COUNTIFS(Errorlog_table[AIR],Table3[[#This Row],[AIR]],Errorlog_table[System],$O$2,Errorlog_table[Year_Week_Number],"&lt;="&amp;$Q$2)</f>
        <v>0</v>
      </c>
      <c r="J28" s="46">
        <f>COUNTIFS(Errorlog_table[AIR],Table3[[#This Row],[AIR]],Errorlog_table[P_Hits],"Y",Errorlog_table[System],$O$2,Errorlog_table[Year_Week_Number],"&lt;="&amp;$Q$2)</f>
        <v>0</v>
      </c>
      <c r="K28" s="46">
        <f>COUNTIFS(Errorlog_table[AIR],Table3[[#This Row],[AIR]],Errorlog_table[P_Hits],"Y",Errorlog_table[Year_Week_Number],"&gt;="&amp;$P$2,Errorlog_table[Year_Week_Number],"&lt;="&amp;$Q$2,Errorlog_table[System],$O$2)</f>
        <v>0</v>
      </c>
      <c r="L28" s="46">
        <f>COUNTIFS(Errorlog_table[AIR],Table3[[#This Row],[AIR]],Errorlog_table[U_Hits],"Y",Errorlog_table[Year_Week_Number],"&gt;="&amp;$P$2,Errorlog_table[Year_Week_Number],"&lt;="&amp;$Q$2,Errorlog_table[System],$O$2)</f>
        <v>0</v>
      </c>
      <c r="M28" s="46" t="str" cm="1">
        <f t="array" ref="M28">_xlfn.XLOOKUP(1,(Errorlog_table[AIR]=Table3[[#This Row],[AIR]])*(Errorlog_table[System]=$O$2)*(Errorlog_table[Year_Week_Number]&lt;=$Q$2)*(Errorlog_table[U_Hits]="Y"),Errorlog_table[Year_Week_Number],"not found",0,-1)</f>
        <v>not found</v>
      </c>
      <c r="N28" s="76" t="s">
        <v>1306</v>
      </c>
      <c r="O28" s="57" t="s">
        <v>1244</v>
      </c>
      <c r="P28" s="57" t="str">
        <f>IF(Table3[[#This Row],['# of P hits]]&gt;0,IF($Q$1="y",IF(Table3[[#This Row],['# of P hits 4wks]]&gt;0,"y","n"),"y"),"n")</f>
        <v>n</v>
      </c>
      <c r="Q28" s="57" t="str">
        <f>IF(_xlfn.XLOOKUP(D28,Error_Log!O:O,Error_Log!F:F,"not found",0,-1)="not found","not found",IF($Q$2-_xlfn.XLOOKUP(D28,Error_Log!O:O,Error_Log!F:F,"not found",0,-1)&lt;=3,"y","n"))</f>
        <v>not found</v>
      </c>
      <c r="R28" s="72" t="e">
        <f>_xlfn.ISOWEEKNUM(_xlfn.XLOOKUP(D28,#REF!,#REF!,"not found",0))</f>
        <v>#REF!</v>
      </c>
      <c r="S28" s="57" t="str" cm="1">
        <f t="array" ref="S28">IF(_xlfn.XLOOKUP(D28,AIR_dump[[#All],[Number]],AIR_dump[[#All],[T]],"not found",0,1)="","",YEAR(_xlfn.XLOOKUP(D28,AIR_dump[[#All],[Number]],AIR_dump[[#All],[T]],"not found",0,1)))</f>
        <v/>
      </c>
      <c r="T28" s="57" t="str" cm="1">
        <f t="array" ref="T28">IF(_xlfn.XLOOKUP(D28,AIR_dump[[#All],[Number]],AIR_dump[[#All],[T]],"not found",0,1)="","",_xlfn.ISOWEEKNUM(_xlfn.XLOOKUP(D28,AIR_dump[[#All],[Number]],AIR_dump[[#All],[T]],"not found",0,1)))</f>
        <v/>
      </c>
      <c r="U28" s="57" t="str" cm="1">
        <f t="array" ref="U28">IF(_xlfn.XLOOKUP(D28,AIR_dump[[#All],[Number]],AIR_dump[[#All],[T]],"not found",0,1)="","",WEEKDAY(_xlfn.XLOOKUP(D28,AIR_dump[[#All],[Number]],AIR_dump[[#All],[T]],"not found",0,1),2))</f>
        <v/>
      </c>
      <c r="V28" s="57" t="str" cm="1">
        <f t="array" ref="V28">_xlfn.XLOOKUP(D28,AIR_dump[[#All],[Number]],AIR_dump[[#All],[T status]],"not found",0,1)</f>
        <v>Open</v>
      </c>
      <c r="W28" s="57"/>
      <c r="X28" s="57"/>
    </row>
    <row r="29" spans="2:24">
      <c r="B29" s="45" t="str">
        <f t="shared" si="0"/>
        <v/>
      </c>
      <c r="C29" s="51" t="s">
        <v>180</v>
      </c>
      <c r="D29" s="42" t="s">
        <v>1307</v>
      </c>
      <c r="E29" s="79" t="str">
        <f>HYPERLINK("https://air.asml.com/u_qm_issues.do?sysparm_query=number="&amp;Table3[[#This Row],[AIR]],Table3[[#This Row],[AIR]])</f>
        <v>P704909</v>
      </c>
      <c r="F29" s="42" t="s">
        <v>1252</v>
      </c>
      <c r="G29" s="42" t="s">
        <v>1308</v>
      </c>
      <c r="H29" s="48">
        <f>SUMIFS(Errorlog_table[Duration],Errorlog_table[AIR],Table3[[#This Row],[AIR]],Errorlog_table[System],$O$2,Errorlog_table[Year_Week_Number],"&lt;"&amp;($Q$2+1))</f>
        <v>0</v>
      </c>
      <c r="I29" s="46">
        <f>COUNTIFS(Errorlog_table[AIR],Table3[[#This Row],[AIR]],Errorlog_table[System],$O$2,Errorlog_table[Year_Week_Number],"&lt;="&amp;$Q$2)</f>
        <v>0</v>
      </c>
      <c r="J29" s="46">
        <f>COUNTIFS(Errorlog_table[AIR],Table3[[#This Row],[AIR]],Errorlog_table[P_Hits],"Y",Errorlog_table[System],$O$2,Errorlog_table[Year_Week_Number],"&lt;="&amp;$Q$2)</f>
        <v>0</v>
      </c>
      <c r="K29" s="46">
        <f>COUNTIFS(Errorlog_table[AIR],Table3[[#This Row],[AIR]],Errorlog_table[P_Hits],"Y",Errorlog_table[Year_Week_Number],"&gt;="&amp;$P$2,Errorlog_table[Year_Week_Number],"&lt;="&amp;$Q$2,Errorlog_table[System],$O$2)</f>
        <v>0</v>
      </c>
      <c r="L29" s="46">
        <f>COUNTIFS(Errorlog_table[AIR],Table3[[#This Row],[AIR]],Errorlog_table[U_Hits],"Y",Errorlog_table[Year_Week_Number],"&gt;="&amp;$P$2,Errorlog_table[Year_Week_Number],"&lt;="&amp;$Q$2,Errorlog_table[System],$O$2)</f>
        <v>0</v>
      </c>
      <c r="M29" s="46" t="str" cm="1">
        <f t="array" ref="M29">_xlfn.XLOOKUP(1,(Errorlog_table[AIR]=Table3[[#This Row],[AIR]])*(Errorlog_table[System]=$O$2)*(Errorlog_table[Year_Week_Number]&lt;=$Q$2)*(Errorlog_table[U_Hits]="Y"),Errorlog_table[Year_Week_Number],"not found",0,-1)</f>
        <v>not found</v>
      </c>
      <c r="N29" s="47" t="s">
        <v>1298</v>
      </c>
      <c r="O29" s="57" t="s">
        <v>1287</v>
      </c>
      <c r="P29" s="57" t="str">
        <f>IF(Table3[[#This Row],['# of P hits]]&gt;0,IF($Q$1="y",IF(Table3[[#This Row],['# of P hits 4wks]]&gt;0,"y","n"),"y"),"n")</f>
        <v>n</v>
      </c>
      <c r="Q29" s="57" t="str">
        <f>IF(_xlfn.XLOOKUP(D29,Error_Log!O:O,Error_Log!F:F,"not found",0,-1)="not found","not found",IF($Q$2-_xlfn.XLOOKUP(D29,Error_Log!O:O,Error_Log!F:F,"not found",0,-1)&lt;=3,"y","n"))</f>
        <v>not found</v>
      </c>
      <c r="R29" s="57">
        <v>2436</v>
      </c>
      <c r="S29" s="57" cm="1">
        <f t="array" ref="S29">IF(_xlfn.XLOOKUP(D29,AIR_dump[[#All],[Number]],AIR_dump[[#All],[T]],"not found",0,1)="","",YEAR(_xlfn.XLOOKUP(D29,AIR_dump[[#All],[Number]],AIR_dump[[#All],[T]],"not found",0,1)))</f>
        <v>2024</v>
      </c>
      <c r="T29" s="57" cm="1">
        <f t="array" ref="T29">IF(_xlfn.XLOOKUP(D29,AIR_dump[[#All],[Number]],AIR_dump[[#All],[T]],"not found",0,1)="","",_xlfn.ISOWEEKNUM(_xlfn.XLOOKUP(D29,AIR_dump[[#All],[Number]],AIR_dump[[#All],[T]],"not found",0,1)))</f>
        <v>44</v>
      </c>
      <c r="U29" s="57" cm="1">
        <f t="array" ref="U29">IF(_xlfn.XLOOKUP(D29,AIR_dump[[#All],[Number]],AIR_dump[[#All],[T]],"not found",0,1)="","",WEEKDAY(_xlfn.XLOOKUP(D29,AIR_dump[[#All],[Number]],AIR_dump[[#All],[T]],"not found",0,1),2))</f>
        <v>5</v>
      </c>
      <c r="V29" s="57" t="str" cm="1">
        <f t="array" ref="V29">_xlfn.XLOOKUP(D29,AIR_dump[[#All],[Number]],AIR_dump[[#All],[T status]],"not found",0,1)</f>
        <v>Closed</v>
      </c>
      <c r="W29" s="57"/>
      <c r="X29" s="57"/>
    </row>
    <row r="30" spans="2:24" ht="54">
      <c r="B30" s="45" t="str">
        <f t="shared" si="0"/>
        <v/>
      </c>
      <c r="C30" s="50" t="s">
        <v>1131</v>
      </c>
      <c r="D30" s="42" t="s">
        <v>1309</v>
      </c>
      <c r="E30" s="79" t="str">
        <f>HYPERLINK("https://air.asml.com/u_qm_issues.do?sysparm_query=number="&amp;Table3[[#This Row],[AIR]],Table3[[#This Row],[AIR]])</f>
        <v>P814396</v>
      </c>
      <c r="F30" s="42" t="s">
        <v>1252</v>
      </c>
      <c r="G30" s="42" t="s">
        <v>1310</v>
      </c>
      <c r="H30" s="48">
        <f>SUMIFS(Errorlog_table[Duration],Errorlog_table[AIR],Table3[[#This Row],[AIR]],Errorlog_table[System],$O$2,Errorlog_table[Year_Week_Number],"&lt;"&amp;($Q$2+1))</f>
        <v>0</v>
      </c>
      <c r="I30" s="46">
        <f>COUNTIFS(Errorlog_table[AIR],Table3[[#This Row],[AIR]],Errorlog_table[System],$O$2,Errorlog_table[Year_Week_Number],"&lt;="&amp;$Q$2)</f>
        <v>0</v>
      </c>
      <c r="J30" s="46">
        <f>COUNTIFS(Errorlog_table[AIR],Table3[[#This Row],[AIR]],Errorlog_table[P_Hits],"Y",Errorlog_table[System],$O$2,Errorlog_table[Year_Week_Number],"&lt;="&amp;$Q$2)</f>
        <v>0</v>
      </c>
      <c r="K30" s="46">
        <f>COUNTIFS(Errorlog_table[AIR],Table3[[#This Row],[AIR]],Errorlog_table[P_Hits],"Y",Errorlog_table[Year_Week_Number],"&gt;="&amp;$P$2,Errorlog_table[Year_Week_Number],"&lt;="&amp;$Q$2,Errorlog_table[System],$O$2)</f>
        <v>0</v>
      </c>
      <c r="L30" s="46">
        <f>COUNTIFS(Errorlog_table[AIR],Table3[[#This Row],[AIR]],Errorlog_table[U_Hits],"Y",Errorlog_table[Year_Week_Number],"&gt;="&amp;$P$2,Errorlog_table[Year_Week_Number],"&lt;="&amp;$Q$2,Errorlog_table[System],$O$2)</f>
        <v>0</v>
      </c>
      <c r="M30" s="46" t="str" cm="1">
        <f t="array" ref="M30">_xlfn.XLOOKUP(1,(Errorlog_table[AIR]=Table3[[#This Row],[AIR]])*(Errorlog_table[System]=$O$2)*(Errorlog_table[Year_Week_Number]&lt;=$Q$2)*(Errorlog_table[U_Hits]="Y"),Errorlog_table[Year_Week_Number],"not found",0,-1)</f>
        <v>not found</v>
      </c>
      <c r="N30" s="47" t="s">
        <v>1311</v>
      </c>
      <c r="O30" s="57" t="s">
        <v>1312</v>
      </c>
      <c r="P30" s="57" t="str">
        <f>IF(Table3[[#This Row],['# of P hits]]&gt;0,IF($Q$1="y",IF(Table3[[#This Row],['# of P hits 4wks]]&gt;0,"y","n"),"y"),"n")</f>
        <v>n</v>
      </c>
      <c r="Q30" s="57" t="str">
        <f>IF(_xlfn.XLOOKUP(D30,Error_Log!O:O,Error_Log!F:F,"not found",0,-1)="not found","not found",IF($Q$2-_xlfn.XLOOKUP(D30,Error_Log!O:O,Error_Log!F:F,"not found",0,-1)&lt;=3,"y","n"))</f>
        <v>not found</v>
      </c>
      <c r="R30" s="57" t="s">
        <v>1161</v>
      </c>
      <c r="S30" s="57" cm="1">
        <f t="array" ref="S30">IF(_xlfn.XLOOKUP(D30,AIR_dump[[#All],[Number]],AIR_dump[[#All],[T]],"not found",0,1)="","",YEAR(_xlfn.XLOOKUP(D30,AIR_dump[[#All],[Number]],AIR_dump[[#All],[T]],"not found",0,1)))</f>
        <v>2024</v>
      </c>
      <c r="T30" s="57" cm="1">
        <f t="array" ref="T30">IF(_xlfn.XLOOKUP(D30,AIR_dump[[#All],[Number]],AIR_dump[[#All],[T]],"not found",0,1)="","",_xlfn.ISOWEEKNUM(_xlfn.XLOOKUP(D30,AIR_dump[[#All],[Number]],AIR_dump[[#All],[T]],"not found",0,1)))</f>
        <v>30</v>
      </c>
      <c r="U30" s="57" cm="1">
        <f t="array" ref="U30">IF(_xlfn.XLOOKUP(D30,AIR_dump[[#All],[Number]],AIR_dump[[#All],[T]],"not found",0,1)="","",WEEKDAY(_xlfn.XLOOKUP(D30,AIR_dump[[#All],[Number]],AIR_dump[[#All],[T]],"not found",0,1),2))</f>
        <v>4</v>
      </c>
      <c r="V30" s="57" t="str" cm="1">
        <f t="array" ref="V30">_xlfn.XLOOKUP(D30,AIR_dump[[#All],[Number]],AIR_dump[[#All],[T status]],"not found",0,1)</f>
        <v>Closed</v>
      </c>
      <c r="W30" s="57"/>
      <c r="X30" s="57"/>
    </row>
    <row r="31" spans="2:24">
      <c r="B31" s="45" t="str">
        <f t="shared" si="0"/>
        <v/>
      </c>
      <c r="C31" s="50" t="s">
        <v>1313</v>
      </c>
      <c r="D31" s="42" t="s">
        <v>1173</v>
      </c>
      <c r="E31" s="79" t="str">
        <f>HYPERLINK("https://air.asml.com/u_qm_issues.do?sysparm_query=number="&amp;Table3[[#This Row],[AIR]],Table3[[#This Row],[AIR]])</f>
        <v>P780804</v>
      </c>
      <c r="F31" s="42" t="s">
        <v>1252</v>
      </c>
      <c r="G31" s="42" t="s">
        <v>1314</v>
      </c>
      <c r="H31" s="48">
        <f>SUMIFS(Errorlog_table[Duration],Errorlog_table[AIR],Table3[[#This Row],[AIR]],Errorlog_table[System],$O$2,Errorlog_table[Year_Week_Number],"&lt;"&amp;($Q$2+1))</f>
        <v>0</v>
      </c>
      <c r="I31" s="46">
        <f>COUNTIFS(Errorlog_table[AIR],Table3[[#This Row],[AIR]],Errorlog_table[System],$O$2,Errorlog_table[Year_Week_Number],"&lt;="&amp;$Q$2)</f>
        <v>0</v>
      </c>
      <c r="J31" s="46">
        <f>COUNTIFS(Errorlog_table[AIR],Table3[[#This Row],[AIR]],Errorlog_table[P_Hits],"Y",Errorlog_table[System],$O$2,Errorlog_table[Year_Week_Number],"&lt;="&amp;$Q$2)</f>
        <v>0</v>
      </c>
      <c r="K31" s="46">
        <f>COUNTIFS(Errorlog_table[AIR],Table3[[#This Row],[AIR]],Errorlog_table[P_Hits],"Y",Errorlog_table[Year_Week_Number],"&gt;="&amp;$P$2,Errorlog_table[Year_Week_Number],"&lt;="&amp;$Q$2,Errorlog_table[System],$O$2)</f>
        <v>0</v>
      </c>
      <c r="L31" s="46">
        <f>COUNTIFS(Errorlog_table[AIR],Table3[[#This Row],[AIR]],Errorlog_table[U_Hits],"Y",Errorlog_table[Year_Week_Number],"&gt;="&amp;$P$2,Errorlog_table[Year_Week_Number],"&lt;="&amp;$Q$2,Errorlog_table[System],$O$2)</f>
        <v>0</v>
      </c>
      <c r="M31" s="46" t="str" cm="1">
        <f t="array" ref="M31">_xlfn.XLOOKUP(1,(Errorlog_table[AIR]=Table3[[#This Row],[AIR]])*(Errorlog_table[System]=$O$2)*(Errorlog_table[Year_Week_Number]&lt;=$Q$2)*(Errorlog_table[U_Hits]="Y"),Errorlog_table[Year_Week_Number],"not found",0,-1)</f>
        <v>not found</v>
      </c>
      <c r="N31" s="47" t="s">
        <v>1315</v>
      </c>
      <c r="O31" s="57" t="s">
        <v>1255</v>
      </c>
      <c r="P31" s="57" t="str">
        <f>IF(Table3[[#This Row],['# of P hits]]&gt;0,IF($Q$1="y",IF(Table3[[#This Row],['# of P hits 4wks]]&gt;0,"y","n"),"y"),"n")</f>
        <v>n</v>
      </c>
      <c r="Q31" s="57" t="str">
        <f>IF(_xlfn.XLOOKUP(D31,Error_Log!O:O,Error_Log!F:F,"not found",0,-1)="not found","not found",IF($Q$2-_xlfn.XLOOKUP(D31,Error_Log!O:O,Error_Log!F:F,"not found",0,-1)&lt;=3,"y","n"))</f>
        <v>not found</v>
      </c>
      <c r="R31" s="57">
        <v>2440</v>
      </c>
      <c r="S31" s="57" cm="1">
        <f t="array" ref="S31">IF(_xlfn.XLOOKUP(D31,AIR_dump[[#All],[Number]],AIR_dump[[#All],[T]],"not found",0,1)="","",YEAR(_xlfn.XLOOKUP(D31,AIR_dump[[#All],[Number]],AIR_dump[[#All],[T]],"not found",0,1)))</f>
        <v>2024</v>
      </c>
      <c r="T31" s="57" cm="1">
        <f t="array" ref="T31">IF(_xlfn.XLOOKUP(D31,AIR_dump[[#All],[Number]],AIR_dump[[#All],[T]],"not found",0,1)="","",_xlfn.ISOWEEKNUM(_xlfn.XLOOKUP(D31,AIR_dump[[#All],[Number]],AIR_dump[[#All],[T]],"not found",0,1)))</f>
        <v>23</v>
      </c>
      <c r="U31" s="57" cm="1">
        <f t="array" ref="U31">IF(_xlfn.XLOOKUP(D31,AIR_dump[[#All],[Number]],AIR_dump[[#All],[T]],"not found",0,1)="","",WEEKDAY(_xlfn.XLOOKUP(D31,AIR_dump[[#All],[Number]],AIR_dump[[#All],[T]],"not found",0,1),2))</f>
        <v>2</v>
      </c>
      <c r="V31" s="57" t="str" cm="1">
        <f t="array" ref="V31">_xlfn.XLOOKUP(D31,AIR_dump[[#All],[Number]],AIR_dump[[#All],[T status]],"not found",0,1)</f>
        <v>Closed</v>
      </c>
      <c r="W31" s="57"/>
      <c r="X31" s="57"/>
    </row>
    <row r="32" spans="2:24">
      <c r="B32" s="45" t="str">
        <f t="shared" si="0"/>
        <v/>
      </c>
      <c r="C32" s="51" t="str">
        <f>_xlfn.XLOOKUP(Table3[[#This Row],[AIR]],Errorlog_table[AIR],Errorlog_table[Root_Error],"not found",0)</f>
        <v>not found</v>
      </c>
      <c r="D32" s="42" t="s">
        <v>1067</v>
      </c>
      <c r="E32" s="79" t="str">
        <f>HYPERLINK("https://air.asml.com/u_qm_issues.do?sysparm_query=number="&amp;Table3[[#This Row],[AIR]],Table3[[#This Row],[AIR]])</f>
        <v>P779017</v>
      </c>
      <c r="F32" s="42" t="s">
        <v>1252</v>
      </c>
      <c r="G32" s="42" t="str">
        <f>_xlfn.XLOOKUP(Table3[[#This Row],[AIR]],Errorlog_table[AIR],Errorlog_table[Description],"not found",0)</f>
        <v>not found</v>
      </c>
      <c r="H32" s="48">
        <f>SUMIFS(Errorlog_table[Duration],Errorlog_table[AIR],Table3[[#This Row],[AIR]],Errorlog_table[System],$O$2,Errorlog_table[Year_Week_Number],"&lt;"&amp;($Q$2+1))</f>
        <v>0</v>
      </c>
      <c r="I32" s="46">
        <f>COUNTIFS(Errorlog_table[AIR],Table3[[#This Row],[AIR]],Errorlog_table[System],$O$2,Errorlog_table[Year_Week_Number],"&lt;="&amp;$Q$2)</f>
        <v>0</v>
      </c>
      <c r="J32" s="46">
        <f>COUNTIFS(Errorlog_table[AIR],Table3[[#This Row],[AIR]],Errorlog_table[P_Hits],"Y",Errorlog_table[System],$O$2,Errorlog_table[Year_Week_Number],"&lt;="&amp;$Q$2)</f>
        <v>0</v>
      </c>
      <c r="K32" s="46">
        <f>COUNTIFS(Errorlog_table[AIR],Table3[[#This Row],[AIR]],Errorlog_table[P_Hits],"Y",Errorlog_table[Year_Week_Number],"&gt;="&amp;$P$2,Errorlog_table[Year_Week_Number],"&lt;="&amp;$Q$2,Errorlog_table[System],$O$2)</f>
        <v>0</v>
      </c>
      <c r="L32" s="46">
        <f>COUNTIFS(Errorlog_table[AIR],Table3[[#This Row],[AIR]],Errorlog_table[U_Hits],"Y",Errorlog_table[Year_Week_Number],"&gt;="&amp;$P$2,Errorlog_table[Year_Week_Number],"&lt;="&amp;$Q$2,Errorlog_table[System],$O$2)</f>
        <v>0</v>
      </c>
      <c r="M32" s="46" t="str" cm="1">
        <f t="array" ref="M32">_xlfn.XLOOKUP(1,(Errorlog_table[AIR]=Table3[[#This Row],[AIR]])*(Errorlog_table[System]=$O$2)*(Errorlog_table[Year_Week_Number]&lt;=$Q$2)*(Errorlog_table[U_Hits]="Y"),Errorlog_table[Year_Week_Number],"not found",0,-1)</f>
        <v>not found</v>
      </c>
      <c r="N32" s="76" t="s">
        <v>1316</v>
      </c>
      <c r="O32" s="57" t="s">
        <v>1312</v>
      </c>
      <c r="P32" s="57" t="str">
        <f>IF(Table3[[#This Row],['# of P hits]]&gt;0,IF($Q$1="y",IF(Table3[[#This Row],['# of P hits 4wks]]&gt;0,"y","n"),"y"),"n")</f>
        <v>n</v>
      </c>
      <c r="Q32" s="57" t="str">
        <f>IF(_xlfn.XLOOKUP(D32,Error_Log!O:O,Error_Log!F:F,"not found",0,-1)="not found","not found",IF($Q$2-_xlfn.XLOOKUP(D32,Error_Log!O:O,Error_Log!F:F,"not found",0,-1)&lt;=3,"y","n"))</f>
        <v>not found</v>
      </c>
      <c r="R32" s="72" t="e">
        <f>_xlfn.ISOWEEKNUM(_xlfn.XLOOKUP(D32,#REF!,#REF!,"not found",0))</f>
        <v>#REF!</v>
      </c>
      <c r="S32" s="57" t="str" cm="1">
        <f t="array" ref="S32">IF(_xlfn.XLOOKUP(D32,AIR_dump[[#All],[Number]],AIR_dump[[#All],[T]],"not found",0,1)="","",YEAR(_xlfn.XLOOKUP(D32,AIR_dump[[#All],[Number]],AIR_dump[[#All],[T]],"not found",0,1)))</f>
        <v/>
      </c>
      <c r="T32" s="57" t="str" cm="1">
        <f t="array" ref="T32">IF(_xlfn.XLOOKUP(D32,AIR_dump[[#All],[Number]],AIR_dump[[#All],[T]],"not found",0,1)="","",_xlfn.ISOWEEKNUM(_xlfn.XLOOKUP(D32,AIR_dump[[#All],[Number]],AIR_dump[[#All],[T]],"not found",0,1)))</f>
        <v/>
      </c>
      <c r="U32" s="57" t="str" cm="1">
        <f t="array" ref="U32">IF(_xlfn.XLOOKUP(D32,AIR_dump[[#All],[Number]],AIR_dump[[#All],[T]],"not found",0,1)="","",WEEKDAY(_xlfn.XLOOKUP(D32,AIR_dump[[#All],[Number]],AIR_dump[[#All],[T]],"not found",0,1),2))</f>
        <v/>
      </c>
      <c r="V32" s="57" t="str" cm="1">
        <f t="array" ref="V32">_xlfn.XLOOKUP(D32,AIR_dump[[#All],[Number]],AIR_dump[[#All],[T status]],"not found",0,1)</f>
        <v>Open</v>
      </c>
      <c r="W32" s="57"/>
      <c r="X32" s="57"/>
    </row>
    <row r="33" spans="2:39">
      <c r="B33" s="45" t="str">
        <f t="shared" si="0"/>
        <v/>
      </c>
      <c r="C33" s="51" t="str">
        <f>_xlfn.XLOOKUP(Table3[[#This Row],[AIR]],Errorlog_table[AIR],Errorlog_table[Root_Error],"not found",0)</f>
        <v>not found</v>
      </c>
      <c r="D33" s="42" t="s">
        <v>1103</v>
      </c>
      <c r="E33" s="79" t="str">
        <f>HYPERLINK("https://air.asml.com/u_qm_issues.do?sysparm_query=number="&amp;Table3[[#This Row],[AIR]],Table3[[#This Row],[AIR]])</f>
        <v>P830711</v>
      </c>
      <c r="F33" s="42" t="s">
        <v>1246</v>
      </c>
      <c r="G33" s="42" t="str">
        <f>_xlfn.XLOOKUP(Table3[[#This Row],[AIR]],Errorlog_table[AIR],Errorlog_table[Description],"not found",0)</f>
        <v>not found</v>
      </c>
      <c r="H33" s="48">
        <f>SUMIFS(Errorlog_table[Duration],Errorlog_table[AIR],Table3[[#This Row],[AIR]],Errorlog_table[System],$O$2,Errorlog_table[Year_Week_Number],"&lt;"&amp;($Q$2+1))</f>
        <v>0</v>
      </c>
      <c r="I33" s="46">
        <f>COUNTIFS(Errorlog_table[AIR],Table3[[#This Row],[AIR]],Errorlog_table[System],$O$2,Errorlog_table[Year_Week_Number],"&lt;="&amp;$Q$2)</f>
        <v>0</v>
      </c>
      <c r="J33" s="46">
        <f>COUNTIFS(Errorlog_table[AIR],Table3[[#This Row],[AIR]],Errorlog_table[P_Hits],"Y",Errorlog_table[System],$O$2,Errorlog_table[Year_Week_Number],"&lt;="&amp;$Q$2)</f>
        <v>0</v>
      </c>
      <c r="K33" s="46">
        <f>COUNTIFS(Errorlog_table[AIR],Table3[[#This Row],[AIR]],Errorlog_table[P_Hits],"Y",Errorlog_table[Year_Week_Number],"&gt;="&amp;$P$2,Errorlog_table[Year_Week_Number],"&lt;="&amp;$Q$2,Errorlog_table[System],$O$2)</f>
        <v>0</v>
      </c>
      <c r="L33" s="46">
        <f>COUNTIFS(Errorlog_table[AIR],Table3[[#This Row],[AIR]],Errorlog_table[U_Hits],"Y",Errorlog_table[Year_Week_Number],"&gt;="&amp;$P$2,Errorlog_table[Year_Week_Number],"&lt;="&amp;$Q$2,Errorlog_table[System],$O$2)</f>
        <v>0</v>
      </c>
      <c r="M33" s="46" t="str" cm="1">
        <f t="array" ref="M33">_xlfn.XLOOKUP(1,(Errorlog_table[AIR]=Table3[[#This Row],[AIR]])*(Errorlog_table[System]=$O$2)*(Errorlog_table[Year_Week_Number]&lt;=$Q$2)*(Errorlog_table[U_Hits]="Y"),Errorlog_table[Year_Week_Number],"not found",0,-1)</f>
        <v>not found</v>
      </c>
      <c r="N33" s="76" t="s">
        <v>1317</v>
      </c>
      <c r="O33" s="57" t="s">
        <v>1244</v>
      </c>
      <c r="P33" s="57" t="str">
        <f>IF(Table3[[#This Row],['# of P hits]]&gt;0,IF($Q$1="y",IF(Table3[[#This Row],['# of P hits 4wks]]&gt;0,"y","n"),"y"),"n")</f>
        <v>n</v>
      </c>
      <c r="Q33" s="57" t="str">
        <f>IF(_xlfn.XLOOKUP(D33,Error_Log!O:O,Error_Log!F:F,"not found",0,-1)="not found","not found",IF($Q$2-_xlfn.XLOOKUP(D33,Error_Log!O:O,Error_Log!F:F,"not found",0,-1)&lt;=3,"y","n"))</f>
        <v>not found</v>
      </c>
      <c r="R33" s="72" t="e">
        <f>_xlfn.ISOWEEKNUM(_xlfn.XLOOKUP(D33,#REF!,#REF!,"not found",0))</f>
        <v>#REF!</v>
      </c>
      <c r="S33" s="57" t="str" cm="1">
        <f t="array" ref="S33">IF(_xlfn.XLOOKUP(D33,AIR_dump[[#All],[Number]],AIR_dump[[#All],[T]],"not found",0,1)="","",YEAR(_xlfn.XLOOKUP(D33,AIR_dump[[#All],[Number]],AIR_dump[[#All],[T]],"not found",0,1)))</f>
        <v/>
      </c>
      <c r="T33" s="57" t="str" cm="1">
        <f t="array" ref="T33">IF(_xlfn.XLOOKUP(D33,AIR_dump[[#All],[Number]],AIR_dump[[#All],[T]],"not found",0,1)="","",_xlfn.ISOWEEKNUM(_xlfn.XLOOKUP(D33,AIR_dump[[#All],[Number]],AIR_dump[[#All],[T]],"not found",0,1)))</f>
        <v/>
      </c>
      <c r="U33" s="57" t="str" cm="1">
        <f t="array" ref="U33">IF(_xlfn.XLOOKUP(D33,AIR_dump[[#All],[Number]],AIR_dump[[#All],[T]],"not found",0,1)="","",WEEKDAY(_xlfn.XLOOKUP(D33,AIR_dump[[#All],[Number]],AIR_dump[[#All],[T]],"not found",0,1),2))</f>
        <v/>
      </c>
      <c r="V33" s="57" t="str" cm="1">
        <f t="array" ref="V33">_xlfn.XLOOKUP(D33,AIR_dump[[#All],[Number]],AIR_dump[[#All],[T status]],"not found",0,1)</f>
        <v>Open</v>
      </c>
      <c r="W33" s="57"/>
      <c r="X33" s="57"/>
    </row>
    <row r="34" spans="2:39">
      <c r="B34" s="45" t="str">
        <f t="shared" si="0"/>
        <v/>
      </c>
      <c r="C34" s="50" t="s">
        <v>1165</v>
      </c>
      <c r="D34" s="42" t="s">
        <v>1318</v>
      </c>
      <c r="E34" s="79" t="str">
        <f>HYPERLINK("https://air.asml.com/u_qm_issues.do?sysparm_query=number="&amp;Table3[[#This Row],[AIR]],Table3[[#This Row],[AIR]])</f>
        <v>P815661</v>
      </c>
      <c r="F34" s="42" t="s">
        <v>1252</v>
      </c>
      <c r="G34" s="42" t="s">
        <v>1319</v>
      </c>
      <c r="H34" s="48">
        <f>SUMIFS(Errorlog_table[Duration],Errorlog_table[AIR],Table3[[#This Row],[AIR]],Errorlog_table[System],$O$2,Errorlog_table[Year_Week_Number],"&lt;"&amp;($Q$2+1))</f>
        <v>0</v>
      </c>
      <c r="I34" s="46">
        <f>COUNTIFS(Errorlog_table[AIR],Table3[[#This Row],[AIR]],Errorlog_table[System],$O$2,Errorlog_table[Year_Week_Number],"&lt;="&amp;$Q$2)</f>
        <v>0</v>
      </c>
      <c r="J34" s="46">
        <f>COUNTIFS(Errorlog_table[AIR],Table3[[#This Row],[AIR]],Errorlog_table[P_Hits],"Y",Errorlog_table[System],$O$2,Errorlog_table[Year_Week_Number],"&lt;="&amp;$Q$2)</f>
        <v>0</v>
      </c>
      <c r="K34" s="46">
        <f>COUNTIFS(Errorlog_table[AIR],Table3[[#This Row],[AIR]],Errorlog_table[P_Hits],"Y",Errorlog_table[Year_Week_Number],"&gt;="&amp;$P$2,Errorlog_table[Year_Week_Number],"&lt;="&amp;$Q$2,Errorlog_table[System],$O$2)</f>
        <v>0</v>
      </c>
      <c r="L34" s="46">
        <f>COUNTIFS(Errorlog_table[AIR],Table3[[#This Row],[AIR]],Errorlog_table[U_Hits],"Y",Errorlog_table[Year_Week_Number],"&gt;="&amp;$P$2,Errorlog_table[Year_Week_Number],"&lt;="&amp;$Q$2,Errorlog_table[System],$O$2)</f>
        <v>0</v>
      </c>
      <c r="M34" s="46" t="str" cm="1">
        <f t="array" ref="M34">_xlfn.XLOOKUP(1,(Errorlog_table[AIR]=Table3[[#This Row],[AIR]])*(Errorlog_table[System]=$O$2)*(Errorlog_table[Year_Week_Number]&lt;=$Q$2)*(Errorlog_table[U_Hits]="Y"),Errorlog_table[Year_Week_Number],"not found",0,-1)</f>
        <v>not found</v>
      </c>
      <c r="N34" s="127" t="s">
        <v>1320</v>
      </c>
      <c r="O34" s="57" t="s">
        <v>1282</v>
      </c>
      <c r="P34" s="57" t="str">
        <f>IF(Table3[[#This Row],['# of P hits]]&gt;0,IF($Q$1="y",IF(Table3[[#This Row],['# of P hits 4wks]]&gt;0,"y","n"),"y"),"n")</f>
        <v>n</v>
      </c>
      <c r="Q34" s="57" t="str">
        <f>IF(_xlfn.XLOOKUP(D34,Error_Log!O:O,Error_Log!F:F,"not found",0,-1)="not found","not found",IF($Q$2-_xlfn.XLOOKUP(D34,Error_Log!O:O,Error_Log!F:F,"not found",0,-1)&lt;=3,"y","n"))</f>
        <v>not found</v>
      </c>
      <c r="R34" s="57" t="s">
        <v>1161</v>
      </c>
      <c r="S34" s="57" t="e" cm="1">
        <f t="array" ref="S34">IF(_xlfn.XLOOKUP(D34,AIR_dump[[#All],[Number]],AIR_dump[[#All],[T]],"not found",0,1)="","",YEAR(_xlfn.XLOOKUP(D34,AIR_dump[[#All],[Number]],AIR_dump[[#All],[T]],"not found",0,1)))</f>
        <v>#VALUE!</v>
      </c>
      <c r="T34" s="57" t="e" cm="1">
        <f t="array" ref="T34">IF(_xlfn.XLOOKUP(D34,AIR_dump[[#All],[Number]],AIR_dump[[#All],[T]],"not found",0,1)="","",_xlfn.ISOWEEKNUM(_xlfn.XLOOKUP(D34,AIR_dump[[#All],[Number]],AIR_dump[[#All],[T]],"not found",0,1)))</f>
        <v>#VALUE!</v>
      </c>
      <c r="U34" s="71" t="e" cm="1">
        <f t="array" ref="U34">IF(_xlfn.XLOOKUP(D34,AIR_dump[[#All],[Number]],AIR_dump[[#All],[T]],"not found",0,1)="","",WEEKDAY(_xlfn.XLOOKUP(D34,AIR_dump[[#All],[Number]],AIR_dump[[#All],[T]],"not found",0,1),2))</f>
        <v>#VALUE!</v>
      </c>
      <c r="V34" s="71" t="str" cm="1">
        <f t="array" ref="V34">_xlfn.XLOOKUP(D34,AIR_dump[[#All],[Number]],AIR_dump[[#All],[T status]],"not found",0,1)</f>
        <v>not found</v>
      </c>
      <c r="W34" s="57"/>
      <c r="X34" s="57"/>
    </row>
    <row r="35" spans="2:39">
      <c r="B35" s="54" t="str">
        <f t="shared" si="0"/>
        <v/>
      </c>
      <c r="C35" s="128" t="str">
        <f>_xlfn.XLOOKUP(Table3[[#This Row],[AIR]],Errorlog_table[AIR],Errorlog_table[Root_Error],"not found",0)</f>
        <v>not found</v>
      </c>
      <c r="D35" s="55" t="s">
        <v>1059</v>
      </c>
      <c r="E35" s="80" t="str">
        <f>HYPERLINK("https://air.asml.com/u_qm_issues.do?sysparm_query=number="&amp;Table3[[#This Row],[AIR]],Table3[[#This Row],[AIR]])</f>
        <v>P770481</v>
      </c>
      <c r="F35" s="55" t="s">
        <v>1252</v>
      </c>
      <c r="G35" s="55" t="str">
        <f>_xlfn.XLOOKUP(Table3[[#This Row],[AIR]],Errorlog_table[AIR],Errorlog_table[Description],"not found",0)</f>
        <v>not found</v>
      </c>
      <c r="H35" s="70">
        <f>SUMIFS(Errorlog_table[Duration],Errorlog_table[AIR],Table3[[#This Row],[AIR]],Errorlog_table[System],$O$2,Errorlog_table[Year_Week_Number],"&lt;"&amp;($Q$2+1))</f>
        <v>0</v>
      </c>
      <c r="I35" s="56">
        <f>COUNTIFS(Errorlog_table[AIR],Table3[[#This Row],[AIR]],Errorlog_table[System],$O$2,Errorlog_table[Year_Week_Number],"&lt;="&amp;$Q$2)</f>
        <v>0</v>
      </c>
      <c r="J35" s="56">
        <f>COUNTIFS(Errorlog_table[AIR],Table3[[#This Row],[AIR]],Errorlog_table[P_Hits],"Y",Errorlog_table[System],$O$2,Errorlog_table[Year_Week_Number],"&lt;="&amp;$Q$2)</f>
        <v>0</v>
      </c>
      <c r="K35" s="56">
        <f>COUNTIFS(Errorlog_table[AIR],Table3[[#This Row],[AIR]],Errorlog_table[P_Hits],"Y",Errorlog_table[Year_Week_Number],"&gt;="&amp;$P$2,Errorlog_table[Year_Week_Number],"&lt;="&amp;$Q$2,Errorlog_table[System],$O$2)</f>
        <v>0</v>
      </c>
      <c r="L35" s="56">
        <f>COUNTIFS(Errorlog_table[AIR],Table3[[#This Row],[AIR]],Errorlog_table[U_Hits],"Y",Errorlog_table[Year_Week_Number],"&gt;="&amp;$P$2,Errorlog_table[Year_Week_Number],"&lt;="&amp;$Q$2,Errorlog_table[System],$O$2)</f>
        <v>0</v>
      </c>
      <c r="M35" s="46" t="str" cm="1">
        <f t="array" ref="M35">_xlfn.XLOOKUP(1,(Errorlog_table[AIR]=Table3[[#This Row],[AIR]])*(Errorlog_table[System]=$O$2)*(Errorlog_table[Year_Week_Number]&lt;=$Q$2)*(Errorlog_table[U_Hits]="Y"),Errorlog_table[Year_Week_Number],"not found",0,-1)</f>
        <v>not found</v>
      </c>
      <c r="N35" s="141" t="s">
        <v>1321</v>
      </c>
      <c r="O35" s="71" t="s">
        <v>1282</v>
      </c>
      <c r="P35" s="71" t="str">
        <f>IF(Table3[[#This Row],['# of P hits]]&gt;0,IF($Q$1="y",IF(Table3[[#This Row],['# of P hits 4wks]]&gt;0,"y","n"),"y"),"n")</f>
        <v>n</v>
      </c>
      <c r="Q35" s="71" t="str">
        <f>IF(_xlfn.XLOOKUP(D35,Error_Log!O:O,Error_Log!F:F,"not found",0,-1)="not found","not found",IF($Q$2-_xlfn.XLOOKUP(D35,Error_Log!O:O,Error_Log!F:F,"not found",0,-1)&lt;=3,"y","n"))</f>
        <v>not found</v>
      </c>
      <c r="R35" s="122" t="e">
        <f>_xlfn.ISOWEEKNUM(_xlfn.XLOOKUP(D35,#REF!,#REF!,"not found",0))</f>
        <v>#REF!</v>
      </c>
      <c r="S35" s="71" t="e" cm="1">
        <f t="array" ref="S35">IF(_xlfn.XLOOKUP(D35,AIR_dump[[#All],[Number]],AIR_dump[[#All],[T]],"not found",0,1)="","",YEAR(_xlfn.XLOOKUP(D35,AIR_dump[[#All],[Number]],AIR_dump[[#All],[T]],"not found",0,1)))</f>
        <v>#VALUE!</v>
      </c>
      <c r="T35" s="71" t="e" cm="1">
        <f t="array" ref="T35">IF(_xlfn.XLOOKUP(D35,AIR_dump[[#All],[Number]],AIR_dump[[#All],[T]],"not found",0,1)="","",_xlfn.ISOWEEKNUM(_xlfn.XLOOKUP(D35,AIR_dump[[#All],[Number]],AIR_dump[[#All],[T]],"not found",0,1)))</f>
        <v>#VALUE!</v>
      </c>
      <c r="U35" s="71" t="e" cm="1">
        <f t="array" ref="U35">IF(_xlfn.XLOOKUP(D35,AIR_dump[[#All],[Number]],AIR_dump[[#All],[T]],"not found",0,1)="","",WEEKDAY(_xlfn.XLOOKUP(D35,AIR_dump[[#All],[Number]],AIR_dump[[#All],[T]],"not found",0,1),2))</f>
        <v>#VALUE!</v>
      </c>
      <c r="V35" s="71" t="str" cm="1">
        <f t="array" ref="V35">_xlfn.XLOOKUP(D35,AIR_dump[[#All],[Number]],AIR_dump[[#All],[T status]],"not found",0,1)</f>
        <v>not found</v>
      </c>
      <c r="W35" s="71"/>
      <c r="X35" s="71"/>
    </row>
    <row r="36" spans="2:39" ht="40.5">
      <c r="B36" s="54" t="str">
        <f t="shared" si="0"/>
        <v/>
      </c>
      <c r="C36" s="128" t="s">
        <v>178</v>
      </c>
      <c r="D36" s="55" t="s">
        <v>1322</v>
      </c>
      <c r="E36" s="80" t="str">
        <f>HYPERLINK("https://air.asml.com/u_qm_issues.do?sysparm_query=number="&amp;Table3[[#This Row],[AIR]],Table3[[#This Row],[AIR]])</f>
        <v>P815634</v>
      </c>
      <c r="F36" s="55" t="s">
        <v>1246</v>
      </c>
      <c r="G36" s="55" t="s">
        <v>1273</v>
      </c>
      <c r="H36" s="70">
        <f>SUMIFS(Errorlog_table[Duration],Errorlog_table[AIR],Table3[[#This Row],[AIR]],Errorlog_table[System],$O$2,Errorlog_table[Year_Week_Number],"&lt;"&amp;($Q$2+1))</f>
        <v>0</v>
      </c>
      <c r="I36" s="56">
        <f>COUNTIFS(Errorlog_table[AIR],Table3[[#This Row],[AIR]],Errorlog_table[System],$O$2,Errorlog_table[Year_Week_Number],"&lt;="&amp;$Q$2)</f>
        <v>0</v>
      </c>
      <c r="J36" s="56">
        <f>COUNTIFS(Errorlog_table[AIR],Table3[[#This Row],[AIR]],Errorlog_table[P_Hits],"Y",Errorlog_table[System],$O$2,Errorlog_table[Year_Week_Number],"&lt;="&amp;$Q$2)</f>
        <v>0</v>
      </c>
      <c r="K36" s="56">
        <f>COUNTIFS(Errorlog_table[AIR],Table3[[#This Row],[AIR]],Errorlog_table[P_Hits],"Y",Errorlog_table[Year_Week_Number],"&gt;="&amp;$P$2,Errorlog_table[Year_Week_Number],"&lt;="&amp;$Q$2,Errorlog_table[System],$O$2)</f>
        <v>0</v>
      </c>
      <c r="L36" s="56">
        <f>COUNTIFS(Errorlog_table[AIR],Table3[[#This Row],[AIR]],Errorlog_table[U_Hits],"Y",Errorlog_table[Year_Week_Number],"&gt;="&amp;$P$2,Errorlog_table[Year_Week_Number],"&lt;="&amp;$Q$2,Errorlog_table[System],$O$2)</f>
        <v>0</v>
      </c>
      <c r="M36" s="46" t="str" cm="1">
        <f t="array" ref="M36">_xlfn.XLOOKUP(1,(Errorlog_table[AIR]=Table3[[#This Row],[AIR]])*(Errorlog_table[System]=$O$2)*(Errorlog_table[Year_Week_Number]&lt;=$Q$2)*(Errorlog_table[U_Hits]="Y"),Errorlog_table[Year_Week_Number],"not found",0,-1)</f>
        <v>not found</v>
      </c>
      <c r="N36" s="77" t="s">
        <v>1323</v>
      </c>
      <c r="O36" s="71" t="s">
        <v>1244</v>
      </c>
      <c r="P36" s="71" t="str">
        <f>IF(Table3[[#This Row],['# of P hits]]&gt;0,IF($Q$1="y",IF(Table3[[#This Row],['# of P hits 4wks]]&gt;0,"y","n"),"y"),"n")</f>
        <v>n</v>
      </c>
      <c r="Q36" s="71" t="str">
        <f>IF(_xlfn.XLOOKUP(D36,Error_Log!O:O,Error_Log!F:F,"not found",0,-1)="not found","not found",IF($Q$2-_xlfn.XLOOKUP(D36,Error_Log!O:O,Error_Log!F:F,"not found",0,-1)&lt;=3,"y","n"))</f>
        <v>not found</v>
      </c>
      <c r="R36" s="71" t="s">
        <v>1161</v>
      </c>
      <c r="S36" s="71" t="str" cm="1">
        <f t="array" ref="S36">IF(_xlfn.XLOOKUP(D36,AIR_dump[[#All],[Number]],AIR_dump[[#All],[T]],"not found",0,1)="","",YEAR(_xlfn.XLOOKUP(D36,AIR_dump[[#All],[Number]],AIR_dump[[#All],[T]],"not found",0,1)))</f>
        <v/>
      </c>
      <c r="T36" s="71" t="str" cm="1">
        <f t="array" ref="T36">IF(_xlfn.XLOOKUP(D36,AIR_dump[[#All],[Number]],AIR_dump[[#All],[T]],"not found",0,1)="","",_xlfn.ISOWEEKNUM(_xlfn.XLOOKUP(D36,AIR_dump[[#All],[Number]],AIR_dump[[#All],[T]],"not found",0,1)))</f>
        <v/>
      </c>
      <c r="U36" s="71" t="str" cm="1">
        <f t="array" ref="U36">IF(_xlfn.XLOOKUP(D36,AIR_dump[[#All],[Number]],AIR_dump[[#All],[T]],"not found",0,1)="","",WEEKDAY(_xlfn.XLOOKUP(D36,AIR_dump[[#All],[Number]],AIR_dump[[#All],[T]],"not found",0,1),2))</f>
        <v/>
      </c>
      <c r="V36" s="71" t="str" cm="1">
        <f t="array" ref="V36">_xlfn.XLOOKUP(D36,AIR_dump[[#All],[Number]],AIR_dump[[#All],[T status]],"not found",0,1)</f>
        <v>Open</v>
      </c>
      <c r="W36" s="71"/>
      <c r="X36" s="71"/>
    </row>
    <row r="37" spans="2:39" ht="27.75">
      <c r="B37" s="45" t="str">
        <f t="shared" si="0"/>
        <v/>
      </c>
      <c r="C37" s="51" t="s">
        <v>161</v>
      </c>
      <c r="D37" s="42" t="s">
        <v>1105</v>
      </c>
      <c r="E37" s="79" t="str">
        <f>HYPERLINK("https://air.asml.com/u_qm_issues.do?sysparm_query=number="&amp;Table3[[#This Row],[AIR]],Table3[[#This Row],[AIR]])</f>
        <v>P821228</v>
      </c>
      <c r="F37" s="42" t="s">
        <v>1252</v>
      </c>
      <c r="G37" s="42" t="s">
        <v>1324</v>
      </c>
      <c r="H37" s="48">
        <f>SUMIFS(Errorlog_table[Duration],Errorlog_table[AIR],Table3[[#This Row],[AIR]],Errorlog_table[System],$O$2,Errorlog_table[Year_Week_Number],"&lt;"&amp;($Q$2+1))</f>
        <v>0</v>
      </c>
      <c r="I37" s="46">
        <f>COUNTIFS(Errorlog_table[AIR],Table3[[#This Row],[AIR]],Errorlog_table[System],$O$2,Errorlog_table[Year_Week_Number],"&lt;="&amp;$Q$2)</f>
        <v>0</v>
      </c>
      <c r="J37" s="46">
        <f>COUNTIFS(Errorlog_table[AIR],Table3[[#This Row],[AIR]],Errorlog_table[P_Hits],"Y",Errorlog_table[System],$O$2,Errorlog_table[Year_Week_Number],"&lt;="&amp;$Q$2)</f>
        <v>0</v>
      </c>
      <c r="K37" s="46">
        <f>COUNTIFS(Errorlog_table[AIR],Table3[[#This Row],[AIR]],Errorlog_table[P_Hits],"Y",Errorlog_table[Year_Week_Number],"&gt;="&amp;$P$2,Errorlog_table[Year_Week_Number],"&lt;="&amp;$Q$2,Errorlog_table[System],$O$2)</f>
        <v>0</v>
      </c>
      <c r="L37" s="46">
        <f>COUNTIFS(Errorlog_table[AIR],Table3[[#This Row],[AIR]],Errorlog_table[U_Hits],"Y",Errorlog_table[Year_Week_Number],"&gt;="&amp;$P$2,Errorlog_table[Year_Week_Number],"&lt;="&amp;$Q$2,Errorlog_table[System],$O$2)</f>
        <v>0</v>
      </c>
      <c r="M37" s="46" t="str" cm="1">
        <f t="array" ref="M37">_xlfn.XLOOKUP(1,(Errorlog_table[AIR]=Table3[[#This Row],[AIR]])*(Errorlog_table[System]=$O$2)*(Errorlog_table[Year_Week_Number]&lt;=$Q$2)*(Errorlog_table[U_Hits]="Y"),Errorlog_table[Year_Week_Number],"not found",0,-1)</f>
        <v>not found</v>
      </c>
      <c r="N37" s="111" t="s">
        <v>1325</v>
      </c>
      <c r="O37" s="57" t="s">
        <v>1305</v>
      </c>
      <c r="P37" s="57" t="str">
        <f>IF(Table3[[#This Row],['# of P hits]]&gt;0,IF($Q$1="y",IF(Table3[[#This Row],['# of P hits 4wks]]&gt;0,"y","n"),"y"),"n")</f>
        <v>n</v>
      </c>
      <c r="Q37" s="57" t="str">
        <f>IF(_xlfn.XLOOKUP(D37,Error_Log!O:O,Error_Log!F:F,"not found",0,-1)="not found","not found",IF($Q$2-_xlfn.XLOOKUP(D37,Error_Log!O:O,Error_Log!F:F,"not found",0,-1)&lt;=3,"y","n"))</f>
        <v>not found</v>
      </c>
      <c r="R37" s="72" t="e">
        <f>_xlfn.ISOWEEKNUM(_xlfn.XLOOKUP(D37,#REF!,#REF!,"not found",0))</f>
        <v>#REF!</v>
      </c>
      <c r="S37" s="57" t="str" cm="1">
        <f t="array" ref="S37">IF(_xlfn.XLOOKUP(D37,AIR_dump[[#All],[Number]],AIR_dump[[#All],[T]],"not found",0,1)="","",YEAR(_xlfn.XLOOKUP(D37,AIR_dump[[#All],[Number]],AIR_dump[[#All],[T]],"not found",0,1)))</f>
        <v/>
      </c>
      <c r="T37" s="57" t="str" cm="1">
        <f t="array" ref="T37">IF(_xlfn.XLOOKUP(D37,AIR_dump[[#All],[Number]],AIR_dump[[#All],[T]],"not found",0,1)="","",_xlfn.ISOWEEKNUM(_xlfn.XLOOKUP(D37,AIR_dump[[#All],[Number]],AIR_dump[[#All],[T]],"not found",0,1)))</f>
        <v/>
      </c>
      <c r="U37" s="57" t="str" cm="1">
        <f t="array" ref="U37">IF(_xlfn.XLOOKUP(D37,AIR_dump[[#All],[Number]],AIR_dump[[#All],[T]],"not found",0,1)="","",WEEKDAY(_xlfn.XLOOKUP(D37,AIR_dump[[#All],[Number]],AIR_dump[[#All],[T]],"not found",0,1),2))</f>
        <v/>
      </c>
      <c r="V37" s="57" t="str" cm="1">
        <f t="array" ref="V37">_xlfn.XLOOKUP(D37,AIR_dump[[#All],[Number]],AIR_dump[[#All],[T status]],"not found",0,1)</f>
        <v>Open</v>
      </c>
      <c r="W37" s="57"/>
      <c r="X37" s="57"/>
      <c r="Y37" s="42"/>
      <c r="Z37" s="42"/>
      <c r="AA37" s="48"/>
      <c r="AB37" s="46"/>
      <c r="AC37" s="46"/>
      <c r="AD37" s="46"/>
      <c r="AE37" s="46"/>
      <c r="AF37" s="46"/>
      <c r="AG37" s="76"/>
      <c r="AH37" s="57"/>
      <c r="AI37" s="57"/>
      <c r="AJ37" s="57"/>
      <c r="AK37" s="72"/>
      <c r="AL37" s="57"/>
      <c r="AM37" s="57"/>
    </row>
    <row r="38" spans="2:39" ht="40.5">
      <c r="B38" s="45" t="str">
        <f t="shared" si="0"/>
        <v/>
      </c>
      <c r="C38" s="50" t="s">
        <v>164</v>
      </c>
      <c r="D38" s="42" t="s">
        <v>1055</v>
      </c>
      <c r="E38" s="79" t="str">
        <f>HYPERLINK("https://air.asml.com/u_qm_issues.do?sysparm_query=number="&amp;Table3[[#This Row],[AIR]],Table3[[#This Row],[AIR]])</f>
        <v>P806968</v>
      </c>
      <c r="F38" s="42" t="s">
        <v>1247</v>
      </c>
      <c r="G38" s="42" t="s">
        <v>1326</v>
      </c>
      <c r="H38" s="48">
        <f>SUMIFS(Errorlog_table[Duration],Errorlog_table[AIR],Table3[[#This Row],[AIR]],Errorlog_table[System],$O$2,Errorlog_table[Year_Week_Number],"&lt;"&amp;($Q$2+1))</f>
        <v>0</v>
      </c>
      <c r="I38" s="46">
        <f>COUNTIFS(Errorlog_table[AIR],Table3[[#This Row],[AIR]],Errorlog_table[System],$O$2,Errorlog_table[Year_Week_Number],"&lt;="&amp;$Q$2)</f>
        <v>0</v>
      </c>
      <c r="J38" s="46">
        <f>COUNTIFS(Errorlog_table[AIR],Table3[[#This Row],[AIR]],Errorlog_table[P_Hits],"Y",Errorlog_table[System],$O$2,Errorlog_table[Year_Week_Number],"&lt;="&amp;$Q$2)</f>
        <v>0</v>
      </c>
      <c r="K38" s="46">
        <f>COUNTIFS(Errorlog_table[AIR],Table3[[#This Row],[AIR]],Errorlog_table[P_Hits],"Y",Errorlog_table[Year_Week_Number],"&gt;="&amp;$P$2,Errorlog_table[Year_Week_Number],"&lt;="&amp;$Q$2,Errorlog_table[System],$O$2)</f>
        <v>0</v>
      </c>
      <c r="L38" s="46">
        <f>COUNTIFS(Errorlog_table[AIR],Table3[[#This Row],[AIR]],Errorlog_table[U_Hits],"Y",Errorlog_table[Year_Week_Number],"&gt;="&amp;$P$2,Errorlog_table[Year_Week_Number],"&lt;="&amp;$Q$2,Errorlog_table[System],$O$2)</f>
        <v>0</v>
      </c>
      <c r="M38" s="46" t="str" cm="1">
        <f t="array" ref="M38">_xlfn.XLOOKUP(1,(Errorlog_table[AIR]=Table3[[#This Row],[AIR]])*(Errorlog_table[System]=$O$2)*(Errorlog_table[Year_Week_Number]&lt;=$Q$2)*(Errorlog_table[U_Hits]="Y"),Errorlog_table[Year_Week_Number],"not found",0,-1)</f>
        <v>not found</v>
      </c>
      <c r="N38" s="47" t="s">
        <v>1327</v>
      </c>
      <c r="O38" s="57" t="s">
        <v>1244</v>
      </c>
      <c r="P38" s="57" t="str">
        <f>IF(Table3[[#This Row],['# of P hits]]&gt;0,IF($Q$1="y",IF(Table3[[#This Row],['# of P hits 4wks]]&gt;0,"y","n"),"y"),"n")</f>
        <v>n</v>
      </c>
      <c r="Q38" s="57" t="str">
        <f>IF(_xlfn.XLOOKUP(D38,Error_Log!O:O,Error_Log!F:F,"not found",0,-1)="not found","not found",IF($Q$2-_xlfn.XLOOKUP(D38,Error_Log!O:O,Error_Log!F:F,"not found",0,-1)&lt;=3,"y","n"))</f>
        <v>not found</v>
      </c>
      <c r="R38" s="57" t="s">
        <v>1161</v>
      </c>
      <c r="S38" s="57" cm="1">
        <f t="array" ref="S38">IF(_xlfn.XLOOKUP(D38,AIR_dump[[#All],[Number]],AIR_dump[[#All],[T]],"not found",0,1)="","",YEAR(_xlfn.XLOOKUP(D38,AIR_dump[[#All],[Number]],AIR_dump[[#All],[T]],"not found",0,1)))</f>
        <v>2024</v>
      </c>
      <c r="T38" s="57" cm="1">
        <f t="array" ref="T38">IF(_xlfn.XLOOKUP(D38,AIR_dump[[#All],[Number]],AIR_dump[[#All],[T]],"not found",0,1)="","",_xlfn.ISOWEEKNUM(_xlfn.XLOOKUP(D38,AIR_dump[[#All],[Number]],AIR_dump[[#All],[T]],"not found",0,1)))</f>
        <v>48</v>
      </c>
      <c r="U38" s="57" cm="1">
        <f t="array" ref="U38">IF(_xlfn.XLOOKUP(D38,AIR_dump[[#All],[Number]],AIR_dump[[#All],[T]],"not found",0,1)="","",WEEKDAY(_xlfn.XLOOKUP(D38,AIR_dump[[#All],[Number]],AIR_dump[[#All],[T]],"not found",0,1),2))</f>
        <v>5</v>
      </c>
      <c r="V38" s="57" t="str" cm="1">
        <f t="array" ref="V38">_xlfn.XLOOKUP(D38,AIR_dump[[#All],[Number]],AIR_dump[[#All],[T status]],"not found",0,1)</f>
        <v>Closed</v>
      </c>
      <c r="W38" s="57"/>
      <c r="X38" s="57"/>
      <c r="Y38" s="42"/>
      <c r="Z38" s="42"/>
      <c r="AA38" s="48"/>
      <c r="AB38" s="46"/>
      <c r="AC38" s="46"/>
      <c r="AD38" s="46"/>
      <c r="AE38" s="46"/>
      <c r="AF38" s="46"/>
      <c r="AG38" s="76"/>
      <c r="AH38" s="57"/>
      <c r="AI38" s="57"/>
      <c r="AJ38" s="57"/>
      <c r="AK38" s="72"/>
      <c r="AL38" s="57"/>
      <c r="AM38" s="57"/>
    </row>
    <row r="39" spans="2:39">
      <c r="B39" s="45" t="str">
        <f t="shared" si="0"/>
        <v/>
      </c>
      <c r="C39" s="50" t="s">
        <v>186</v>
      </c>
      <c r="D39" s="42" t="s">
        <v>1328</v>
      </c>
      <c r="E39" s="79" t="str">
        <f>HYPERLINK("https://air.asml.com/u_qm_issues.do?sysparm_query=number="&amp;Table3[[#This Row],[AIR]],Table3[[#This Row],[AIR]])</f>
        <v>P801020</v>
      </c>
      <c r="F39" s="42" t="s">
        <v>1252</v>
      </c>
      <c r="G39" s="42" t="s">
        <v>1329</v>
      </c>
      <c r="H39" s="48">
        <f>SUMIFS(Errorlog_table[Duration],Errorlog_table[AIR],Table3[[#This Row],[AIR]],Errorlog_table[System],$O$2,Errorlog_table[Year_Week_Number],"&lt;"&amp;($Q$2+1))</f>
        <v>0</v>
      </c>
      <c r="I39" s="46">
        <f>COUNTIFS(Errorlog_table[AIR],Table3[[#This Row],[AIR]],Errorlog_table[System],$O$2,Errorlog_table[Year_Week_Number],"&lt;="&amp;$Q$2)</f>
        <v>0</v>
      </c>
      <c r="J39" s="46">
        <f>COUNTIFS(Errorlog_table[AIR],Table3[[#This Row],[AIR]],Errorlog_table[P_Hits],"Y",Errorlog_table[System],$O$2,Errorlog_table[Year_Week_Number],"&lt;="&amp;$Q$2)</f>
        <v>0</v>
      </c>
      <c r="K39" s="46">
        <f>COUNTIFS(Errorlog_table[AIR],Table3[[#This Row],[AIR]],Errorlog_table[P_Hits],"Y",Errorlog_table[Year_Week_Number],"&gt;="&amp;$P$2,Errorlog_table[Year_Week_Number],"&lt;="&amp;$Q$2,Errorlog_table[System],$O$2)</f>
        <v>0</v>
      </c>
      <c r="L39" s="46">
        <f>COUNTIFS(Errorlog_table[AIR],Table3[[#This Row],[AIR]],Errorlog_table[U_Hits],"Y",Errorlog_table[Year_Week_Number],"&gt;="&amp;$P$2,Errorlog_table[Year_Week_Number],"&lt;="&amp;$Q$2,Errorlog_table[System],$O$2)</f>
        <v>0</v>
      </c>
      <c r="M39" s="46" t="str" cm="1">
        <f t="array" ref="M39">_xlfn.XLOOKUP(1,(Errorlog_table[AIR]=Table3[[#This Row],[AIR]])*(Errorlog_table[System]=$O$2)*(Errorlog_table[Year_Week_Number]&lt;=$Q$2)*(Errorlog_table[U_Hits]="Y"),Errorlog_table[Year_Week_Number],"not found",0,-1)</f>
        <v>not found</v>
      </c>
      <c r="N39" s="76" t="s">
        <v>1330</v>
      </c>
      <c r="O39" s="57" t="s">
        <v>1282</v>
      </c>
      <c r="P39" s="57" t="str">
        <f>IF(Table3[[#This Row],['# of P hits]]&gt;0,IF($Q$1="y",IF(Table3[[#This Row],['# of P hits 4wks]]&gt;0,"y","n"),"y"),"n")</f>
        <v>n</v>
      </c>
      <c r="Q39" s="57" t="str">
        <f>IF(_xlfn.XLOOKUP(D39,Error_Log!O:O,Error_Log!F:F,"not found",0,-1)="not found","not found",IF($Q$2-_xlfn.XLOOKUP(D39,Error_Log!O:O,Error_Log!F:F,"not found",0,-1)&lt;=3,"y","n"))</f>
        <v>not found</v>
      </c>
      <c r="R39" s="72" t="s">
        <v>1161</v>
      </c>
      <c r="S39" s="57" t="e" cm="1">
        <f t="array" ref="S39">IF(_xlfn.XLOOKUP(D39,AIR_dump[[#All],[Number]],AIR_dump[[#All],[T]],"not found",0,1)="","",YEAR(_xlfn.XLOOKUP(D39,AIR_dump[[#All],[Number]],AIR_dump[[#All],[T]],"not found",0,1)))</f>
        <v>#VALUE!</v>
      </c>
      <c r="T39" s="57" t="e" cm="1">
        <f t="array" ref="T39">IF(_xlfn.XLOOKUP(D39,AIR_dump[[#All],[Number]],AIR_dump[[#All],[T]],"not found",0,1)="","",_xlfn.ISOWEEKNUM(_xlfn.XLOOKUP(D39,AIR_dump[[#All],[Number]],AIR_dump[[#All],[T]],"not found",0,1)))</f>
        <v>#VALUE!</v>
      </c>
      <c r="U39" s="45" t="e" cm="1">
        <f t="array" ref="U39">IF(_xlfn.XLOOKUP(D39,AIR_dump[[#All],[Number]],AIR_dump[[#All],[T]],"not found",0,1)="","",WEEKDAY(_xlfn.XLOOKUP(D39,AIR_dump[[#All],[Number]],AIR_dump[[#All],[T]],"not found",0,1),2))</f>
        <v>#VALUE!</v>
      </c>
      <c r="V39" s="50" t="str" cm="1">
        <f t="array" ref="V39">_xlfn.XLOOKUP(D39,AIR_dump[[#All],[Number]],AIR_dump[[#All],[T status]],"not found",0,1)</f>
        <v>not found</v>
      </c>
      <c r="W39" s="42"/>
      <c r="X39" s="79"/>
      <c r="Y39" s="42"/>
      <c r="Z39" s="42"/>
      <c r="AA39" s="48"/>
      <c r="AB39" s="46"/>
      <c r="AC39" s="46"/>
      <c r="AD39" s="46"/>
      <c r="AE39" s="46"/>
      <c r="AF39" s="46"/>
      <c r="AG39" s="76"/>
      <c r="AH39" s="57"/>
      <c r="AI39" s="57"/>
      <c r="AJ39" s="57"/>
      <c r="AK39" s="72"/>
      <c r="AL39" s="57"/>
      <c r="AM39" s="57"/>
    </row>
    <row r="40" spans="2:39">
      <c r="B40" s="45" t="str">
        <f t="shared" si="0"/>
        <v/>
      </c>
      <c r="C40" s="50" t="s">
        <v>1331</v>
      </c>
      <c r="D40" s="42" t="s">
        <v>1332</v>
      </c>
      <c r="E40" s="79" t="str">
        <f>HYPERLINK("https://air.asml.com/u_qm_issues.do?sysparm_query=number="&amp;Table3[[#This Row],[AIR]],Table3[[#This Row],[AIR]])</f>
        <v>P800689</v>
      </c>
      <c r="F40" s="42" t="s">
        <v>1252</v>
      </c>
      <c r="G40" s="42" t="s">
        <v>1333</v>
      </c>
      <c r="H40" s="48">
        <f>SUMIFS(Errorlog_table[Duration],Errorlog_table[AIR],Table3[[#This Row],[AIR]],Errorlog_table[System],$O$2,Errorlog_table[Year_Week_Number],"&lt;"&amp;($Q$2+1))</f>
        <v>0</v>
      </c>
      <c r="I40" s="46">
        <f>COUNTIFS(Errorlog_table[AIR],Table3[[#This Row],[AIR]],Errorlog_table[System],$O$2,Errorlog_table[Year_Week_Number],"&lt;="&amp;$Q$2)</f>
        <v>0</v>
      </c>
      <c r="J40" s="46">
        <f>COUNTIFS(Errorlog_table[AIR],Table3[[#This Row],[AIR]],Errorlog_table[P_Hits],"Y",Errorlog_table[System],$O$2,Errorlog_table[Year_Week_Number],"&lt;="&amp;$Q$2)</f>
        <v>0</v>
      </c>
      <c r="K40" s="46">
        <f>COUNTIFS(Errorlog_table[AIR],Table3[[#This Row],[AIR]],Errorlog_table[P_Hits],"Y",Errorlog_table[Year_Week_Number],"&gt;="&amp;$P$2,Errorlog_table[Year_Week_Number],"&lt;="&amp;$Q$2,Errorlog_table[System],$O$2)</f>
        <v>0</v>
      </c>
      <c r="L40" s="46">
        <f>COUNTIFS(Errorlog_table[AIR],Table3[[#This Row],[AIR]],Errorlog_table[U_Hits],"Y",Errorlog_table[Year_Week_Number],"&gt;="&amp;$P$2,Errorlog_table[Year_Week_Number],"&lt;="&amp;$Q$2,Errorlog_table[System],$O$2)</f>
        <v>0</v>
      </c>
      <c r="M40" s="46" t="str" cm="1">
        <f t="array" ref="M40">_xlfn.XLOOKUP(1,(Errorlog_table[AIR]=Table3[[#This Row],[AIR]])*(Errorlog_table[System]=$O$2)*(Errorlog_table[Year_Week_Number]&lt;=$Q$2)*(Errorlog_table[U_Hits]="Y"),Errorlog_table[Year_Week_Number],"not found",0,-1)</f>
        <v>not found</v>
      </c>
      <c r="N40" s="76" t="s">
        <v>1334</v>
      </c>
      <c r="O40" s="57" t="s">
        <v>1267</v>
      </c>
      <c r="P40" s="57" t="str">
        <f>IF(Table3[[#This Row],['# of P hits]]&gt;0,IF($Q$1="y",IF(Table3[[#This Row],['# of P hits 4wks]]&gt;0,"y","n"),"y"),"n")</f>
        <v>n</v>
      </c>
      <c r="Q40" s="57" t="str">
        <f>IF(_xlfn.XLOOKUP(D40,Error_Log!O:O,Error_Log!F:F,"not found",0,-1)="not found","not found",IF($Q$2-_xlfn.XLOOKUP(D40,Error_Log!O:O,Error_Log!F:F,"not found",0,-1)&lt;=3,"y","n"))</f>
        <v>not found</v>
      </c>
      <c r="R40" s="72">
        <v>2432</v>
      </c>
      <c r="S40" s="57" cm="1">
        <f t="array" ref="S40">IF(_xlfn.XLOOKUP(D40,AIR_dump[[#All],[Number]],AIR_dump[[#All],[T]],"not found",0,1)="","",YEAR(_xlfn.XLOOKUP(D40,AIR_dump[[#All],[Number]],AIR_dump[[#All],[T]],"not found",0,1)))</f>
        <v>2024</v>
      </c>
      <c r="T40" s="57" cm="1">
        <f t="array" ref="T40">IF(_xlfn.XLOOKUP(D40,AIR_dump[[#All],[Number]],AIR_dump[[#All],[T]],"not found",0,1)="","",_xlfn.ISOWEEKNUM(_xlfn.XLOOKUP(D40,AIR_dump[[#All],[Number]],AIR_dump[[#All],[T]],"not found",0,1)))</f>
        <v>32</v>
      </c>
      <c r="U40" s="45" cm="1">
        <f t="array" ref="U40">IF(_xlfn.XLOOKUP(D40,AIR_dump[[#All],[Number]],AIR_dump[[#All],[T]],"not found",0,1)="","",WEEKDAY(_xlfn.XLOOKUP(D40,AIR_dump[[#All],[Number]],AIR_dump[[#All],[T]],"not found",0,1),2))</f>
        <v>1</v>
      </c>
      <c r="V40" s="50" t="str" cm="1">
        <f t="array" ref="V40">_xlfn.XLOOKUP(D40,AIR_dump[[#All],[Number]],AIR_dump[[#All],[T status]],"not found",0,1)</f>
        <v>Closed</v>
      </c>
      <c r="W40" s="42"/>
      <c r="X40" s="79"/>
      <c r="Y40" s="42"/>
      <c r="Z40" s="42"/>
      <c r="AA40" s="48"/>
      <c r="AB40" s="46"/>
      <c r="AC40" s="46"/>
      <c r="AD40" s="46"/>
      <c r="AE40" s="46"/>
      <c r="AF40" s="46"/>
      <c r="AG40" s="76"/>
      <c r="AH40" s="57"/>
      <c r="AI40" s="57"/>
      <c r="AJ40" s="57"/>
      <c r="AK40" s="72"/>
      <c r="AL40" s="57"/>
      <c r="AM40" s="57"/>
    </row>
    <row r="41" spans="2:39">
      <c r="B41" s="45" t="str">
        <f t="shared" si="0"/>
        <v/>
      </c>
      <c r="C41" s="50" t="s">
        <v>169</v>
      </c>
      <c r="D41" s="42" t="s">
        <v>1335</v>
      </c>
      <c r="E41" s="79" t="str">
        <f>HYPERLINK("https://air.asml.com/u_qm_issues.do?sysparm_query=number="&amp;Table3[[#This Row],[AIR]],Table3[[#This Row],[AIR]])</f>
        <v>P720720</v>
      </c>
      <c r="F41" s="42" t="s">
        <v>1252</v>
      </c>
      <c r="G41" s="42" t="s">
        <v>1336</v>
      </c>
      <c r="H41" s="48">
        <f>SUMIFS(Errorlog_table[Duration],Errorlog_table[AIR],Table3[[#This Row],[AIR]],Errorlog_table[System],$O$2,Errorlog_table[Year_Week_Number],"&lt;"&amp;($Q$2+1))</f>
        <v>0</v>
      </c>
      <c r="I41" s="46">
        <f>COUNTIFS(Errorlog_table[AIR],Table3[[#This Row],[AIR]],Errorlog_table[System],$O$2,Errorlog_table[Year_Week_Number],"&lt;="&amp;$Q$2)</f>
        <v>0</v>
      </c>
      <c r="J41" s="46">
        <f>COUNTIFS(Errorlog_table[AIR],Table3[[#This Row],[AIR]],Errorlog_table[P_Hits],"Y",Errorlog_table[System],$O$2,Errorlog_table[Year_Week_Number],"&lt;="&amp;$Q$2)</f>
        <v>0</v>
      </c>
      <c r="K41" s="46">
        <f>COUNTIFS(Errorlog_table[AIR],Table3[[#This Row],[AIR]],Errorlog_table[P_Hits],"Y",Errorlog_table[Year_Week_Number],"&gt;="&amp;$P$2,Errorlog_table[Year_Week_Number],"&lt;="&amp;$Q$2,Errorlog_table[System],$O$2)</f>
        <v>0</v>
      </c>
      <c r="L41" s="46">
        <f>COUNTIFS(Errorlog_table[AIR],Table3[[#This Row],[AIR]],Errorlog_table[U_Hits],"Y",Errorlog_table[Year_Week_Number],"&gt;="&amp;$P$2,Errorlog_table[Year_Week_Number],"&lt;="&amp;$Q$2,Errorlog_table[System],$O$2)</f>
        <v>0</v>
      </c>
      <c r="M41" s="46" t="str" cm="1">
        <f t="array" ref="M41">_xlfn.XLOOKUP(1,(Errorlog_table[AIR]=Table3[[#This Row],[AIR]])*(Errorlog_table[System]=$O$2)*(Errorlog_table[Year_Week_Number]&lt;=$Q$2)*(Errorlog_table[U_Hits]="Y"),Errorlog_table[Year_Week_Number],"not found",0,-1)</f>
        <v>not found</v>
      </c>
      <c r="N41" s="76" t="s">
        <v>1286</v>
      </c>
      <c r="O41" s="57" t="s">
        <v>1287</v>
      </c>
      <c r="P41" s="57" t="str">
        <f>IF(Table3[[#This Row],['# of P hits]]&gt;0,IF($Q$1="y",IF(Table3[[#This Row],['# of P hits 4wks]]&gt;0,"y","n"),"y"),"n")</f>
        <v>n</v>
      </c>
      <c r="Q41" s="57" t="str">
        <f>IF(_xlfn.XLOOKUP(D41,Error_Log!O:O,Error_Log!F:F,"not found",0,-1)="not found","not found",IF($Q$2-_xlfn.XLOOKUP(D41,Error_Log!O:O,Error_Log!F:F,"not found",0,-1)&lt;=3,"y","n"))</f>
        <v>not found</v>
      </c>
      <c r="R41" s="72">
        <v>2437</v>
      </c>
      <c r="S41" s="57" cm="1">
        <f t="array" ref="S41">IF(_xlfn.XLOOKUP(D41,AIR_dump[[#All],[Number]],AIR_dump[[#All],[T]],"not found",0,1)="","",YEAR(_xlfn.XLOOKUP(D41,AIR_dump[[#All],[Number]],AIR_dump[[#All],[T]],"not found",0,1)))</f>
        <v>2024</v>
      </c>
      <c r="T41" s="57" cm="1">
        <f t="array" ref="T41">IF(_xlfn.XLOOKUP(D41,AIR_dump[[#All],[Number]],AIR_dump[[#All],[T]],"not found",0,1)="","",_xlfn.ISOWEEKNUM(_xlfn.XLOOKUP(D41,AIR_dump[[#All],[Number]],AIR_dump[[#All],[T]],"not found",0,1)))</f>
        <v>37</v>
      </c>
      <c r="U41" s="45" cm="1">
        <f t="array" ref="U41">IF(_xlfn.XLOOKUP(D41,AIR_dump[[#All],[Number]],AIR_dump[[#All],[T]],"not found",0,1)="","",WEEKDAY(_xlfn.XLOOKUP(D41,AIR_dump[[#All],[Number]],AIR_dump[[#All],[T]],"not found",0,1),2))</f>
        <v>2</v>
      </c>
      <c r="V41" s="50" t="str" cm="1">
        <f t="array" ref="V41">_xlfn.XLOOKUP(D41,AIR_dump[[#All],[Number]],AIR_dump[[#All],[T status]],"not found",0,1)</f>
        <v>Closed</v>
      </c>
      <c r="W41" s="42"/>
      <c r="X41" s="79"/>
      <c r="Y41" s="42"/>
      <c r="Z41" s="42"/>
      <c r="AA41" s="48"/>
      <c r="AB41" s="46"/>
      <c r="AC41" s="46"/>
      <c r="AD41" s="46"/>
      <c r="AE41" s="46"/>
      <c r="AF41" s="46"/>
      <c r="AG41" s="76"/>
      <c r="AH41" s="57"/>
      <c r="AI41" s="57"/>
      <c r="AJ41" s="57"/>
      <c r="AK41" s="72"/>
      <c r="AL41" s="57"/>
      <c r="AM41" s="57"/>
    </row>
    <row r="42" spans="2:39" ht="54.75">
      <c r="B42" s="45" t="str">
        <f t="shared" si="0"/>
        <v/>
      </c>
      <c r="C42" s="50" t="s">
        <v>163</v>
      </c>
      <c r="D42" s="42" t="s">
        <v>1337</v>
      </c>
      <c r="E42" s="79" t="str">
        <f>HYPERLINK("https://air.asml.com/u_qm_issues.do?sysparm_query=number="&amp;Table3[[#This Row],[AIR]],Table3[[#This Row],[AIR]])</f>
        <v>P756116</v>
      </c>
      <c r="F42" s="42" t="s">
        <v>1252</v>
      </c>
      <c r="G42" s="42" t="s">
        <v>1338</v>
      </c>
      <c r="H42" s="48">
        <f>SUMIFS(Errorlog_table[Duration],Errorlog_table[AIR],Table3[[#This Row],[AIR]],Errorlog_table[System],$O$2,Errorlog_table[Year_Week_Number],"&lt;"&amp;($Q$2+1))</f>
        <v>0</v>
      </c>
      <c r="I42" s="46">
        <f>COUNTIFS(Errorlog_table[AIR],Table3[[#This Row],[AIR]],Errorlog_table[System],$O$2,Errorlog_table[Year_Week_Number],"&lt;="&amp;$Q$2)</f>
        <v>0</v>
      </c>
      <c r="J42" s="46">
        <f>COUNTIFS(Errorlog_table[AIR],Table3[[#This Row],[AIR]],Errorlog_table[P_Hits],"Y",Errorlog_table[System],$O$2,Errorlog_table[Year_Week_Number],"&lt;="&amp;$Q$2)</f>
        <v>0</v>
      </c>
      <c r="K42" s="46">
        <f>COUNTIFS(Errorlog_table[AIR],Table3[[#This Row],[AIR]],Errorlog_table[P_Hits],"Y",Errorlog_table[Year_Week_Number],"&gt;="&amp;$P$2,Errorlog_table[Year_Week_Number],"&lt;="&amp;$Q$2,Errorlog_table[System],$O$2)</f>
        <v>0</v>
      </c>
      <c r="L42" s="46">
        <f>COUNTIFS(Errorlog_table[AIR],Table3[[#This Row],[AIR]],Errorlog_table[U_Hits],"Y",Errorlog_table[Year_Week_Number],"&gt;="&amp;$P$2,Errorlog_table[Year_Week_Number],"&lt;="&amp;$Q$2,Errorlog_table[System],$O$2)</f>
        <v>0</v>
      </c>
      <c r="M42" s="46" t="str" cm="1">
        <f t="array" ref="M42">_xlfn.XLOOKUP(1,(Errorlog_table[AIR]=Table3[[#This Row],[AIR]])*(Errorlog_table[System]=$O$2)*(Errorlog_table[Year_Week_Number]&lt;=$Q$2)*(Errorlog_table[U_Hits]="Y"),Errorlog_table[Year_Week_Number],"not found",0,-1)</f>
        <v>not found</v>
      </c>
      <c r="N42" s="76" t="s">
        <v>1339</v>
      </c>
      <c r="O42" s="57" t="s">
        <v>1282</v>
      </c>
      <c r="P42" s="57" t="str">
        <f>IF(Table3[[#This Row],['# of P hits]]&gt;0,IF($Q$1="y",IF(Table3[[#This Row],['# of P hits 4wks]]&gt;0,"y","n"),"y"),"n")</f>
        <v>n</v>
      </c>
      <c r="Q42" s="57" t="str">
        <f>IF(_xlfn.XLOOKUP(D42,Error_Log!O:O,Error_Log!F:F,"not found",0,-1)="not found","not found",IF($Q$2-_xlfn.XLOOKUP(D42,Error_Log!O:O,Error_Log!F:F,"not found",0,-1)&lt;=3,"y","n"))</f>
        <v>not found</v>
      </c>
      <c r="R42" s="72" t="s">
        <v>1161</v>
      </c>
      <c r="S42" s="57" cm="1">
        <f t="array" ref="S42">IF(_xlfn.XLOOKUP(D42,AIR_dump[[#All],[Number]],AIR_dump[[#All],[T]],"not found",0,1)="","",YEAR(_xlfn.XLOOKUP(D42,AIR_dump[[#All],[Number]],AIR_dump[[#All],[T]],"not found",0,1)))</f>
        <v>2024</v>
      </c>
      <c r="T42" s="57" cm="1">
        <f t="array" ref="T42">IF(_xlfn.XLOOKUP(D42,AIR_dump[[#All],[Number]],AIR_dump[[#All],[T]],"not found",0,1)="","",_xlfn.ISOWEEKNUM(_xlfn.XLOOKUP(D42,AIR_dump[[#All],[Number]],AIR_dump[[#All],[T]],"not found",0,1)))</f>
        <v>39</v>
      </c>
      <c r="U42" s="45" cm="1">
        <f t="array" ref="U42">IF(_xlfn.XLOOKUP(D42,AIR_dump[[#All],[Number]],AIR_dump[[#All],[T]],"not found",0,1)="","",WEEKDAY(_xlfn.XLOOKUP(D42,AIR_dump[[#All],[Number]],AIR_dump[[#All],[T]],"not found",0,1),2))</f>
        <v>4</v>
      </c>
      <c r="V42" s="50" t="str" cm="1">
        <f t="array" ref="V42">_xlfn.XLOOKUP(D42,AIR_dump[[#All],[Number]],AIR_dump[[#All],[T status]],"not found",0,1)</f>
        <v>Closed</v>
      </c>
      <c r="W42" s="42"/>
      <c r="X42" s="79"/>
      <c r="Y42" s="42"/>
      <c r="Z42" s="42"/>
      <c r="AA42" s="48"/>
      <c r="AB42" s="46"/>
      <c r="AC42" s="46"/>
      <c r="AD42" s="46"/>
      <c r="AE42" s="46"/>
      <c r="AF42" s="46"/>
      <c r="AG42" s="76"/>
      <c r="AH42" s="57"/>
      <c r="AI42" s="57"/>
      <c r="AJ42" s="57"/>
      <c r="AK42" s="72"/>
      <c r="AL42" s="57"/>
      <c r="AM42" s="57"/>
    </row>
    <row r="43" spans="2:39" ht="40.5">
      <c r="B43" s="45" t="str">
        <f t="shared" si="0"/>
        <v/>
      </c>
      <c r="C43" s="50" t="s">
        <v>184</v>
      </c>
      <c r="D43" s="42" t="s">
        <v>1113</v>
      </c>
      <c r="E43" s="79" t="str">
        <f>HYPERLINK("https://air.asml.com/u_qm_issues.do?sysparm_query=number="&amp;Table3[[#This Row],[AIR]],Table3[[#This Row],[AIR]])</f>
        <v>P815607</v>
      </c>
      <c r="F43" s="42" t="s">
        <v>1252</v>
      </c>
      <c r="G43" s="42" t="s">
        <v>1273</v>
      </c>
      <c r="H43" s="48">
        <f>SUMIFS(Errorlog_table[Duration],Errorlog_table[AIR],Table3[[#This Row],[AIR]],Errorlog_table[System],$O$2,Errorlog_table[Year_Week_Number],"&lt;"&amp;($Q$2+1))</f>
        <v>0</v>
      </c>
      <c r="I43" s="46">
        <f>COUNTIFS(Errorlog_table[AIR],Table3[[#This Row],[AIR]],Errorlog_table[System],$O$2,Errorlog_table[Year_Week_Number],"&lt;="&amp;$Q$2)</f>
        <v>0</v>
      </c>
      <c r="J43" s="46">
        <f>COUNTIFS(Errorlog_table[AIR],Table3[[#This Row],[AIR]],Errorlog_table[P_Hits],"Y",Errorlog_table[System],$O$2,Errorlog_table[Year_Week_Number],"&lt;="&amp;$Q$2)</f>
        <v>0</v>
      </c>
      <c r="K43" s="46">
        <f>COUNTIFS(Errorlog_table[AIR],Table3[[#This Row],[AIR]],Errorlog_table[P_Hits],"Y",Errorlog_table[Year_Week_Number],"&gt;="&amp;$P$2,Errorlog_table[Year_Week_Number],"&lt;="&amp;$Q$2,Errorlog_table[System],$O$2)</f>
        <v>0</v>
      </c>
      <c r="L43" s="46">
        <f>COUNTIFS(Errorlog_table[AIR],Table3[[#This Row],[AIR]],Errorlog_table[U_Hits],"Y",Errorlog_table[Year_Week_Number],"&gt;="&amp;$P$2,Errorlog_table[Year_Week_Number],"&lt;="&amp;$Q$2,Errorlog_table[System],$O$2)</f>
        <v>0</v>
      </c>
      <c r="M43" s="46" t="str" cm="1">
        <f t="array" ref="M43">_xlfn.XLOOKUP(1,(Errorlog_table[AIR]=Table3[[#This Row],[AIR]])*(Errorlog_table[System]=$O$2)*(Errorlog_table[Year_Week_Number]&lt;=$Q$2)*(Errorlog_table[U_Hits]="Y"),Errorlog_table[Year_Week_Number],"not found",0,-1)</f>
        <v>not found</v>
      </c>
      <c r="N43" s="47" t="s">
        <v>1340</v>
      </c>
      <c r="O43" s="57" t="s">
        <v>1259</v>
      </c>
      <c r="P43" s="57" t="str">
        <f>IF(Table3[[#This Row],['# of P hits]]&gt;0,IF($Q$1="y",IF(Table3[[#This Row],['# of P hits 4wks]]&gt;0,"y","n"),"y"),"n")</f>
        <v>n</v>
      </c>
      <c r="Q43" s="57" t="str">
        <f>IF(_xlfn.XLOOKUP(D43,Error_Log!O:O,Error_Log!F:F,"not found",0,-1)="not found","not found",IF($Q$2-_xlfn.XLOOKUP(D43,Error_Log!O:O,Error_Log!F:F,"not found",0,-1)&lt;=3,"y","n"))</f>
        <v>not found</v>
      </c>
      <c r="R43" s="57">
        <v>2438</v>
      </c>
      <c r="S43" s="57" t="str" cm="1">
        <f t="array" ref="S43">IF(_xlfn.XLOOKUP(D43,AIR_dump[[#All],[Number]],AIR_dump[[#All],[T]],"not found",0,1)="","",YEAR(_xlfn.XLOOKUP(D43,AIR_dump[[#All],[Number]],AIR_dump[[#All],[T]],"not found",0,1)))</f>
        <v/>
      </c>
      <c r="T43" s="57" t="str" cm="1">
        <f t="array" ref="T43">IF(_xlfn.XLOOKUP(D43,AIR_dump[[#All],[Number]],AIR_dump[[#All],[T]],"not found",0,1)="","",_xlfn.ISOWEEKNUM(_xlfn.XLOOKUP(D43,AIR_dump[[#All],[Number]],AIR_dump[[#All],[T]],"not found",0,1)))</f>
        <v/>
      </c>
      <c r="U43" s="57" t="str" cm="1">
        <f t="array" ref="U43">IF(_xlfn.XLOOKUP(D43,AIR_dump[[#All],[Number]],AIR_dump[[#All],[T]],"not found",0,1)="","",WEEKDAY(_xlfn.XLOOKUP(D43,AIR_dump[[#All],[Number]],AIR_dump[[#All],[T]],"not found",0,1),2))</f>
        <v/>
      </c>
      <c r="V43" s="57" t="str" cm="1">
        <f t="array" ref="V43">_xlfn.XLOOKUP(D43,AIR_dump[[#All],[Number]],AIR_dump[[#All],[T status]],"not found",0,1)</f>
        <v>Open</v>
      </c>
      <c r="W43" s="57"/>
      <c r="X43" s="57"/>
    </row>
    <row r="44" spans="2:39" ht="22.5">
      <c r="B44" s="45" t="str">
        <f t="shared" si="0"/>
        <v/>
      </c>
      <c r="C44" s="50" t="s">
        <v>183</v>
      </c>
      <c r="D44" s="42" t="s">
        <v>1085</v>
      </c>
      <c r="E44" s="79" t="str">
        <f>HYPERLINK("https://air.asml.com/u_qm_issues.do?sysparm_query=number="&amp;Table3[[#This Row],[AIR]],Table3[[#This Row],[AIR]])</f>
        <v>P825725</v>
      </c>
      <c r="F44" s="42" t="s">
        <v>1252</v>
      </c>
      <c r="G44" s="42" t="s">
        <v>1341</v>
      </c>
      <c r="H44" s="48">
        <f>SUMIFS(Errorlog_table[Duration],Errorlog_table[AIR],Table3[[#This Row],[AIR]],Errorlog_table[System],$O$2,Errorlog_table[Year_Week_Number],"&lt;"&amp;($Q$2+1))</f>
        <v>0</v>
      </c>
      <c r="I44" s="46">
        <f>COUNTIFS(Errorlog_table[AIR],Table3[[#This Row],[AIR]],Errorlog_table[System],$O$2,Errorlog_table[Year_Week_Number],"&lt;="&amp;$Q$2)</f>
        <v>0</v>
      </c>
      <c r="J44" s="46">
        <f>COUNTIFS(Errorlog_table[AIR],Table3[[#This Row],[AIR]],Errorlog_table[P_Hits],"Y",Errorlog_table[System],$O$2,Errorlog_table[Year_Week_Number],"&lt;="&amp;$Q$2)</f>
        <v>0</v>
      </c>
      <c r="K44" s="46">
        <f>COUNTIFS(Errorlog_table[AIR],Table3[[#This Row],[AIR]],Errorlog_table[P_Hits],"Y",Errorlog_table[Year_Week_Number],"&gt;="&amp;$P$2,Errorlog_table[Year_Week_Number],"&lt;="&amp;$Q$2,Errorlog_table[System],$O$2)</f>
        <v>0</v>
      </c>
      <c r="L44" s="46">
        <f>COUNTIFS(Errorlog_table[AIR],Table3[[#This Row],[AIR]],Errorlog_table[U_Hits],"Y",Errorlog_table[Year_Week_Number],"&gt;="&amp;$P$2,Errorlog_table[Year_Week_Number],"&lt;="&amp;$Q$2,Errorlog_table[System],$O$2)</f>
        <v>0</v>
      </c>
      <c r="M44" s="46" t="str" cm="1">
        <f t="array" ref="M44">_xlfn.XLOOKUP(1,(Errorlog_table[AIR]=Table3[[#This Row],[AIR]])*(Errorlog_table[System]=$O$2)*(Errorlog_table[Year_Week_Number]&lt;=$Q$2)*(Errorlog_table[U_Hits]="Y"),Errorlog_table[Year_Week_Number],"not found",0,-1)</f>
        <v>not found</v>
      </c>
      <c r="N44" s="76" t="s">
        <v>1342</v>
      </c>
      <c r="O44" s="57" t="s">
        <v>1343</v>
      </c>
      <c r="P44" s="57" t="str">
        <f>IF(Table3[[#This Row],['# of P hits]]&gt;0,IF($Q$1="y",IF(Table3[[#This Row],['# of P hits 4wks]]&gt;0,"y","n"),"y"),"n")</f>
        <v>n</v>
      </c>
      <c r="Q44" s="57" t="str">
        <f>IF(_xlfn.XLOOKUP(D44,Error_Log!O:O,Error_Log!F:F,"not found",0,-1)="not found","not found",IF($Q$2-_xlfn.XLOOKUP(D44,Error_Log!O:O,Error_Log!F:F,"not found",0,-1)&lt;=3,"y","n"))</f>
        <v>not found</v>
      </c>
      <c r="R44" s="72" t="e">
        <f>_xlfn.ISOWEEKNUM(_xlfn.XLOOKUP(D44,#REF!,#REF!,"not found",0))</f>
        <v>#REF!</v>
      </c>
      <c r="S44" s="57" cm="1">
        <f t="array" ref="S44">IF(_xlfn.XLOOKUP(D44,AIR_dump[[#All],[Number]],AIR_dump[[#All],[T]],"not found",0,1)="","",YEAR(_xlfn.XLOOKUP(D44,AIR_dump[[#All],[Number]],AIR_dump[[#All],[T]],"not found",0,1)))</f>
        <v>2024</v>
      </c>
      <c r="T44" s="57" cm="1">
        <f t="array" ref="T44">IF(_xlfn.XLOOKUP(D44,AIR_dump[[#All],[Number]],AIR_dump[[#All],[T]],"not found",0,1)="","",_xlfn.ISOWEEKNUM(_xlfn.XLOOKUP(D44,AIR_dump[[#All],[Number]],AIR_dump[[#All],[T]],"not found",0,1)))</f>
        <v>44</v>
      </c>
      <c r="U44" s="45" cm="1">
        <f t="array" ref="U44">IF(_xlfn.XLOOKUP(D44,AIR_dump[[#All],[Number]],AIR_dump[[#All],[T]],"not found",0,1)="","",WEEKDAY(_xlfn.XLOOKUP(D44,AIR_dump[[#All],[Number]],AIR_dump[[#All],[T]],"not found",0,1),2))</f>
        <v>3</v>
      </c>
      <c r="V44" s="50" t="str" cm="1">
        <f t="array" ref="V44">_xlfn.XLOOKUP(D44,AIR_dump[[#All],[Number]],AIR_dump[[#All],[T status]],"not found",0,1)</f>
        <v>Closed</v>
      </c>
      <c r="W44" s="42"/>
      <c r="X44" s="79"/>
    </row>
    <row r="45" spans="2:39" ht="27.75">
      <c r="B45" s="45" t="str">
        <f t="shared" si="0"/>
        <v/>
      </c>
      <c r="C45" s="50" t="str">
        <f>_xlfn.XLOOKUP(Table3[[#This Row],[AIR]],Errorlog_table[AIR],Errorlog_table[Root_Error],"not found",0,-1)</f>
        <v>not found</v>
      </c>
      <c r="D45" s="42" t="s">
        <v>1121</v>
      </c>
      <c r="E45" s="79" t="str">
        <f>HYPERLINK("https://air.asml.com/u_qm_issues.do?sysparm_query=number="&amp;Table3[[#This Row],[AIR]],Table3[[#This Row],[AIR]])</f>
        <v>P822182</v>
      </c>
      <c r="F45" s="42" t="s">
        <v>1246</v>
      </c>
      <c r="G45" s="42" t="str">
        <f>_xlfn.XLOOKUP(Table3[[#This Row],[AIR]],Errorlog_table[AIR],Errorlog_table[Description],"not found",0)</f>
        <v>not found</v>
      </c>
      <c r="H45" s="48">
        <f>SUMIFS(Errorlog_table[Duration],Errorlog_table[AIR],Table3[[#This Row],[AIR]],Errorlog_table[System],$O$2,Errorlog_table[Year_Week_Number],"&lt;"&amp;($Q$2+1))</f>
        <v>0</v>
      </c>
      <c r="I45" s="46">
        <f>COUNTIFS(Errorlog_table[AIR],Table3[[#This Row],[AIR]],Errorlog_table[System],$O$2,Errorlog_table[Year_Week_Number],"&lt;="&amp;$Q$2)</f>
        <v>0</v>
      </c>
      <c r="J45" s="46">
        <f>COUNTIFS(Errorlog_table[AIR],Table3[[#This Row],[AIR]],Errorlog_table[P_Hits],"Y",Errorlog_table[System],$O$2,Errorlog_table[Year_Week_Number],"&lt;="&amp;$Q$2)</f>
        <v>0</v>
      </c>
      <c r="K45" s="46">
        <f>COUNTIFS(Errorlog_table[AIR],Table3[[#This Row],[AIR]],Errorlog_table[P_Hits],"Y",Errorlog_table[Year_Week_Number],"&gt;="&amp;$P$2,Errorlog_table[Year_Week_Number],"&lt;="&amp;$Q$2,Errorlog_table[System],$O$2)</f>
        <v>0</v>
      </c>
      <c r="L45" s="46">
        <f>COUNTIFS(Errorlog_table[AIR],Table3[[#This Row],[AIR]],Errorlog_table[U_Hits],"Y",Errorlog_table[Year_Week_Number],"&gt;="&amp;$P$2,Errorlog_table[Year_Week_Number],"&lt;="&amp;$Q$2,Errorlog_table[System],$O$2)</f>
        <v>0</v>
      </c>
      <c r="M45" s="46" t="str" cm="1">
        <f t="array" ref="M45">_xlfn.XLOOKUP(1,(Errorlog_table[AIR]=Table3[[#This Row],[AIR]])*(Errorlog_table[System]=$O$2)*(Errorlog_table[Year_Week_Number]&lt;=$Q$2)*(Errorlog_table[U_Hits]="Y"),Errorlog_table[Year_Week_Number],"not found",0,-1)</f>
        <v>not found</v>
      </c>
      <c r="N45" s="76" t="s">
        <v>1344</v>
      </c>
      <c r="O45" s="57" t="s">
        <v>1244</v>
      </c>
      <c r="P45" s="57" t="str">
        <f>IF(Table3[[#This Row],['# of P hits]]&gt;0,IF($Q$1="y",IF(Table3[[#This Row],['# of P hits 4wks]]&gt;0,"y","n"),"y"),"n")</f>
        <v>n</v>
      </c>
      <c r="Q45" s="57" t="str">
        <f>IF(_xlfn.XLOOKUP(D45,Error_Log!O:O,Error_Log!F:F,"not found",0,-1)="not found","not found",IF($Q$2-_xlfn.XLOOKUP(D45,Error_Log!O:O,Error_Log!F:F,"not found",0,-1)&lt;=3,"y","n"))</f>
        <v>not found</v>
      </c>
      <c r="R45" s="72" t="e">
        <f>_xlfn.ISOWEEKNUM(_xlfn.XLOOKUP(D45,#REF!,#REF!,"not found",0))</f>
        <v>#REF!</v>
      </c>
      <c r="S45" s="57" t="str" cm="1">
        <f t="array" ref="S45">IF(_xlfn.XLOOKUP(D45,AIR_dump[[#All],[Number]],AIR_dump[[#All],[T]],"not found",0,1)="","",YEAR(_xlfn.XLOOKUP(D45,AIR_dump[[#All],[Number]],AIR_dump[[#All],[T]],"not found",0,1)))</f>
        <v/>
      </c>
      <c r="T45" s="57" t="str" cm="1">
        <f t="array" ref="T45">IF(_xlfn.XLOOKUP(D45,AIR_dump[[#All],[Number]],AIR_dump[[#All],[T]],"not found",0,1)="","",_xlfn.ISOWEEKNUM(_xlfn.XLOOKUP(D45,AIR_dump[[#All],[Number]],AIR_dump[[#All],[T]],"not found",0,1)))</f>
        <v/>
      </c>
      <c r="U45" s="57" t="str" cm="1">
        <f t="array" ref="U45">IF(_xlfn.XLOOKUP(D45,AIR_dump[[#All],[Number]],AIR_dump[[#All],[T]],"not found",0,1)="","",WEEKDAY(_xlfn.XLOOKUP(D45,AIR_dump[[#All],[Number]],AIR_dump[[#All],[T]],"not found",0,1),2))</f>
        <v/>
      </c>
      <c r="V45" s="57" t="str" cm="1">
        <f t="array" ref="V45">_xlfn.XLOOKUP(D45,AIR_dump[[#All],[Number]],AIR_dump[[#All],[T status]],"not found",0,1)</f>
        <v>Open</v>
      </c>
      <c r="W45" s="57"/>
      <c r="X45" s="57"/>
    </row>
    <row r="46" spans="2:39">
      <c r="B46" s="54" t="str">
        <f t="shared" si="0"/>
        <v/>
      </c>
      <c r="C46" s="50" t="str">
        <f>_xlfn.XLOOKUP(Table3[[#This Row],[AIR]],Errorlog_table[AIR],Errorlog_table[Root_Error],"not found",0,-1)</f>
        <v>not found</v>
      </c>
      <c r="D46" s="42" t="s">
        <v>1345</v>
      </c>
      <c r="E46" s="78" t="str">
        <f>HYPERLINK("https://air.asml.com/u_qm_issues.do?sysparm_query=number="&amp;Table3[[#This Row],[AIR]],Table3[[#This Row],[AIR]])</f>
        <v>P813136</v>
      </c>
      <c r="F46" s="55" t="s">
        <v>1246</v>
      </c>
      <c r="G46" s="40" t="str">
        <f>_xlfn.XLOOKUP(Table3[[#This Row],[AIR]],Errorlog_table[AIR],Errorlog_table[Description],"not found",0)</f>
        <v>not found</v>
      </c>
      <c r="H46" s="70">
        <f>SUMIFS(Errorlog_table[Duration],Errorlog_table[AIR],Table3[[#This Row],[AIR]],Errorlog_table[System],$O$2,Errorlog_table[Year_Week_Number],"&lt;"&amp;($Q$2+1))</f>
        <v>0</v>
      </c>
      <c r="I46" s="56">
        <f>COUNTIFS(Errorlog_table[AIR],Table3[[#This Row],[AIR]],Errorlog_table[System],$O$2,Errorlog_table[Year_Week_Number],"&lt;="&amp;$Q$2)</f>
        <v>0</v>
      </c>
      <c r="J46" s="56">
        <f>COUNTIFS(Errorlog_table[AIR],Table3[[#This Row],[AIR]],Errorlog_table[P_Hits],"Y",Errorlog_table[System],$O$2,Errorlog_table[Year_Week_Number],"&lt;="&amp;$Q$2)</f>
        <v>0</v>
      </c>
      <c r="K46" s="56">
        <f>COUNTIFS(Errorlog_table[AIR],Table3[[#This Row],[AIR]],Errorlog_table[P_Hits],"Y",Errorlog_table[Year_Week_Number],"&gt;="&amp;$P$2,Errorlog_table[Year_Week_Number],"&lt;="&amp;$Q$2,Errorlog_table[System],$O$2)</f>
        <v>0</v>
      </c>
      <c r="L46" s="56">
        <f>COUNTIFS(Errorlog_table[AIR],Table3[[#This Row],[AIR]],Errorlog_table[U_Hits],"Y",Errorlog_table[Year_Week_Number],"&gt;="&amp;$P$2,Errorlog_table[Year_Week_Number],"&lt;="&amp;$Q$2,Errorlog_table[System],$O$2)</f>
        <v>0</v>
      </c>
      <c r="M46" s="56" t="str" cm="1">
        <f t="array" ref="M46">_xlfn.XLOOKUP(1,(Errorlog_table[AIR]=Table3[[#This Row],[AIR]])*(Errorlog_table[System]=$O$2)*(Errorlog_table[Year_Week_Number]&lt;=$Q$2)*(Errorlog_table[U_Hits]="Y"),Errorlog_table[Year_Week_Number],"not found",0,-1)</f>
        <v>not found</v>
      </c>
      <c r="N46" s="142"/>
      <c r="O46" s="71" t="s">
        <v>805</v>
      </c>
      <c r="P46" s="71" t="str">
        <f>IF(Table3[[#This Row],['# of P hits]]&gt;0,IF($Q$1="y",IF(Table3[[#This Row],['# of P hits 4wks]]&gt;0,"y","n"),"y"),"n")</f>
        <v>n</v>
      </c>
      <c r="Q46" s="71" t="str">
        <f>IF(_xlfn.XLOOKUP(D46,Error_Log!O:O,Error_Log!F:F,"not found",0,-1)="not found","not found",IF($Q$2-_xlfn.XLOOKUP(D46,Error_Log!O:O,Error_Log!F:F,"not found",0,-1)&lt;=3,"y","n"))</f>
        <v>not found</v>
      </c>
      <c r="R46" s="122" t="e">
        <f>_xlfn.ISOWEEKNUM(_xlfn.XLOOKUP(D46,#REF!,#REF!,"not found",0))</f>
        <v>#REF!</v>
      </c>
      <c r="S46" s="71" t="e" cm="1">
        <f t="array" ref="S46">IF(_xlfn.XLOOKUP(D46,AIR_dump[[#All],[Number]],AIR_dump[[#All],[T]],"not found",0,1)="","",YEAR(_xlfn.XLOOKUP(D46,AIR_dump[[#All],[Number]],AIR_dump[[#All],[T]],"not found",0,1)))</f>
        <v>#VALUE!</v>
      </c>
      <c r="T46" s="71" t="e" cm="1">
        <f t="array" ref="T46">IF(_xlfn.XLOOKUP(D46,AIR_dump[[#All],[Number]],AIR_dump[[#All],[T]],"not found",0,1)="","",_xlfn.ISOWEEKNUM(_xlfn.XLOOKUP(D46,AIR_dump[[#All],[Number]],AIR_dump[[#All],[T]],"not found",0,1)))</f>
        <v>#VALUE!</v>
      </c>
      <c r="U46" s="71" t="e" cm="1">
        <f t="array" ref="U46">IF(_xlfn.XLOOKUP(D46,AIR_dump[[#All],[Number]],AIR_dump[[#All],[T]],"not found",0,1)="","",WEEKDAY(_xlfn.XLOOKUP(D46,AIR_dump[[#All],[Number]],AIR_dump[[#All],[T]],"not found",0,1),2))</f>
        <v>#VALUE!</v>
      </c>
      <c r="V46" s="71" t="str" cm="1">
        <f t="array" ref="V46">_xlfn.XLOOKUP(D46,AIR_dump[[#All],[Number]],AIR_dump[[#All],[T status]],"not found",0,1)</f>
        <v>not found</v>
      </c>
      <c r="W46" s="71"/>
      <c r="X46" s="71"/>
    </row>
    <row r="47" spans="2:39" ht="22.5">
      <c r="B47" s="54" t="str">
        <f t="shared" si="0"/>
        <v/>
      </c>
      <c r="C47" s="50" t="str">
        <f>_xlfn.XLOOKUP(Table3[[#This Row],[AIR]],Errorlog_table[AIR],Errorlog_table[Root_Error],"not found",0,-1)</f>
        <v>not found</v>
      </c>
      <c r="D47" s="42" t="s">
        <v>1346</v>
      </c>
      <c r="E47" s="79" t="str">
        <f>HYPERLINK("https://air.asml.com/u_qm_issues.do?sysparm_query=number="&amp;Table3[[#This Row],[AIR]],Table3[[#This Row],[AIR]])</f>
        <v>P766100</v>
      </c>
      <c r="F47" s="55" t="s">
        <v>1252</v>
      </c>
      <c r="G47" s="42" t="s">
        <v>1347</v>
      </c>
      <c r="H47" s="70">
        <f>SUMIFS(Errorlog_table[Duration],Errorlog_table[AIR],Table3[[#This Row],[AIR]],Errorlog_table[System],$O$2,Errorlog_table[Year_Week_Number],"&lt;"&amp;($Q$2+1))</f>
        <v>0</v>
      </c>
      <c r="I47" s="56">
        <f>COUNTIFS(Errorlog_table[AIR],Table3[[#This Row],[AIR]],Errorlog_table[System],$O$2,Errorlog_table[Year_Week_Number],"&lt;="&amp;$Q$2)</f>
        <v>0</v>
      </c>
      <c r="J47" s="56">
        <f>COUNTIFS(Errorlog_table[AIR],Table3[[#This Row],[AIR]],Errorlog_table[P_Hits],"Y",Errorlog_table[System],$O$2,Errorlog_table[Year_Week_Number],"&lt;="&amp;$Q$2)</f>
        <v>0</v>
      </c>
      <c r="K47" s="56">
        <f>COUNTIFS(Errorlog_table[AIR],Table3[[#This Row],[AIR]],Errorlog_table[P_Hits],"Y",Errorlog_table[Year_Week_Number],"&gt;="&amp;$P$2,Errorlog_table[Year_Week_Number],"&lt;="&amp;$Q$2,Errorlog_table[System],$O$2)</f>
        <v>0</v>
      </c>
      <c r="L47" s="56">
        <f>COUNTIFS(Errorlog_table[AIR],Table3[[#This Row],[AIR]],Errorlog_table[U_Hits],"Y",Errorlog_table[Year_Week_Number],"&gt;="&amp;$P$2,Errorlog_table[Year_Week_Number],"&lt;="&amp;$Q$2,Errorlog_table[System],$O$2)</f>
        <v>0</v>
      </c>
      <c r="M47" s="56" t="str" cm="1">
        <f t="array" ref="M47">_xlfn.XLOOKUP(1,(Errorlog_table[AIR]=Table3[[#This Row],[AIR]])*(Errorlog_table[System]=$O$2)*(Errorlog_table[Year_Week_Number]&lt;=$Q$2)*(Errorlog_table[U_Hits]="Y"),Errorlog_table[Year_Week_Number],"not found",0,-1)</f>
        <v>not found</v>
      </c>
      <c r="N47" s="77" t="s">
        <v>1348</v>
      </c>
      <c r="O47" s="71" t="s">
        <v>1267</v>
      </c>
      <c r="P47" s="71" t="str">
        <f>IF(Table3[[#This Row],['# of P hits]]&gt;0,IF($Q$1="y",IF(Table3[[#This Row],['# of P hits 4wks]]&gt;0,"y","n"),"y"),"n")</f>
        <v>n</v>
      </c>
      <c r="Q47" s="71" t="str">
        <f>IF(_xlfn.XLOOKUP(D47,Error_Log!O:O,Error_Log!F:F,"not found",0,-1)="not found","not found",IF($Q$2-_xlfn.XLOOKUP(D47,Error_Log!O:O,Error_Log!F:F,"not found",0,-1)&lt;=3,"y","n"))</f>
        <v>not found</v>
      </c>
      <c r="R47" s="71">
        <v>2432</v>
      </c>
      <c r="S47" s="71" t="e" cm="1">
        <f t="array" ref="S47">IF(_xlfn.XLOOKUP(D47,AIR_dump[[#All],[Number]],AIR_dump[[#All],[T]],"not found",0,1)="","",YEAR(_xlfn.XLOOKUP(D47,AIR_dump[[#All],[Number]],AIR_dump[[#All],[T]],"not found",0,1)))</f>
        <v>#VALUE!</v>
      </c>
      <c r="T47" s="71" t="e" cm="1">
        <f t="array" ref="T47">IF(_xlfn.XLOOKUP(D47,AIR_dump[[#All],[Number]],AIR_dump[[#All],[T]],"not found",0,1)="","",_xlfn.ISOWEEKNUM(_xlfn.XLOOKUP(D47,AIR_dump[[#All],[Number]],AIR_dump[[#All],[T]],"not found",0,1)))</f>
        <v>#VALUE!</v>
      </c>
      <c r="U47" s="71" t="e" cm="1">
        <f t="array" ref="U47">IF(_xlfn.XLOOKUP(D47,AIR_dump[[#All],[Number]],AIR_dump[[#All],[T]],"not found",0,1)="","",WEEKDAY(_xlfn.XLOOKUP(D47,AIR_dump[[#All],[Number]],AIR_dump[[#All],[T]],"not found",0,1),2))</f>
        <v>#VALUE!</v>
      </c>
      <c r="V47" s="71" t="str" cm="1">
        <f t="array" ref="V47">_xlfn.XLOOKUP(D47,AIR_dump[[#All],[Number]],AIR_dump[[#All],[T status]],"not found",0,1)</f>
        <v>not found</v>
      </c>
      <c r="W47" s="71"/>
      <c r="X47" s="71"/>
    </row>
    <row r="48" spans="2:39">
      <c r="B48" s="54" t="str">
        <f t="shared" si="0"/>
        <v/>
      </c>
      <c r="C48" s="50" t="str">
        <f>_xlfn.XLOOKUP(Table3[[#This Row],[AIR]],Errorlog_table[AIR],Errorlog_table[Root_Error],"not found",0,-1)</f>
        <v>not found</v>
      </c>
      <c r="D48" s="55" t="s">
        <v>1171</v>
      </c>
      <c r="E48" s="80" t="str">
        <f>HYPERLINK("https://air.asml.com/u_qm_issues.do?sysparm_query=number="&amp;Table3[[#This Row],[AIR]],Table3[[#This Row],[AIR]])</f>
        <v>P804700</v>
      </c>
      <c r="F48" s="55" t="s">
        <v>1252</v>
      </c>
      <c r="G48" s="40" t="s">
        <v>1349</v>
      </c>
      <c r="H48" s="70">
        <f>SUMIFS(Errorlog_table[Duration],Errorlog_table[AIR],Table3[[#This Row],[AIR]],Errorlog_table[System],$O$2,Errorlog_table[Year_Week_Number],"&lt;"&amp;($Q$2+1))</f>
        <v>0</v>
      </c>
      <c r="I48" s="56">
        <f>COUNTIFS(Errorlog_table[AIR],Table3[[#This Row],[AIR]],Errorlog_table[System],$O$2,Errorlog_table[Year_Week_Number],"&lt;="&amp;$Q$2)</f>
        <v>0</v>
      </c>
      <c r="J48" s="56">
        <f>COUNTIFS(Errorlog_table[AIR],Table3[[#This Row],[AIR]],Errorlog_table[P_Hits],"Y",Errorlog_table[System],$O$2,Errorlog_table[Year_Week_Number],"&lt;="&amp;$Q$2)</f>
        <v>0</v>
      </c>
      <c r="K48" s="56">
        <f>COUNTIFS(Errorlog_table[AIR],Table3[[#This Row],[AIR]],Errorlog_table[P_Hits],"Y",Errorlog_table[Year_Week_Number],"&gt;="&amp;$P$2,Errorlog_table[Year_Week_Number],"&lt;="&amp;$Q$2,Errorlog_table[System],$O$2)</f>
        <v>0</v>
      </c>
      <c r="L48" s="56">
        <f>COUNTIFS(Errorlog_table[AIR],Table3[[#This Row],[AIR]],Errorlog_table[U_Hits],"Y",Errorlog_table[Year_Week_Number],"&gt;="&amp;$P$2,Errorlog_table[Year_Week_Number],"&lt;="&amp;$Q$2,Errorlog_table[System],$O$2)</f>
        <v>0</v>
      </c>
      <c r="M48" s="56" t="str" cm="1">
        <f t="array" ref="M48">_xlfn.XLOOKUP(1,(Errorlog_table[AIR]=Table3[[#This Row],[AIR]])*(Errorlog_table[System]=$O$2)*(Errorlog_table[Year_Week_Number]&lt;=$Q$2)*(Errorlog_table[U_Hits]="Y"),Errorlog_table[Year_Week_Number],"not found",0,-1)</f>
        <v>not found</v>
      </c>
      <c r="N48" s="77" t="s">
        <v>1350</v>
      </c>
      <c r="O48" s="71" t="s">
        <v>1287</v>
      </c>
      <c r="P48" s="71" t="str">
        <f>IF(Table3[[#This Row],['# of P hits]]&gt;0,IF($Q$1="y",IF(Table3[[#This Row],['# of P hits 4wks]]&gt;0,"y","n"),"y"),"n")</f>
        <v>n</v>
      </c>
      <c r="Q48" s="71" t="str">
        <f>IF(_xlfn.XLOOKUP(D48,Error_Log!O:O,Error_Log!F:F,"not found",0,-1)="not found","not found",IF($Q$2-_xlfn.XLOOKUP(D48,Error_Log!O:O,Error_Log!F:F,"not found",0,-1)&lt;=3,"y","n"))</f>
        <v>not found</v>
      </c>
      <c r="R48" s="71">
        <v>2437</v>
      </c>
      <c r="S48" s="71" cm="1">
        <f t="array" ref="S48">IF(_xlfn.XLOOKUP(D48,AIR_dump[[#All],[Number]],AIR_dump[[#All],[T]],"not found",0,1)="","",YEAR(_xlfn.XLOOKUP(D48,AIR_dump[[#All],[Number]],AIR_dump[[#All],[T]],"not found",0,1)))</f>
        <v>2024</v>
      </c>
      <c r="T48" s="71" cm="1">
        <f t="array" ref="T48">IF(_xlfn.XLOOKUP(D48,AIR_dump[[#All],[Number]],AIR_dump[[#All],[T]],"not found",0,1)="","",_xlfn.ISOWEEKNUM(_xlfn.XLOOKUP(D48,AIR_dump[[#All],[Number]],AIR_dump[[#All],[T]],"not found",0,1)))</f>
        <v>36</v>
      </c>
      <c r="U48" s="71" cm="1">
        <f t="array" ref="U48">IF(_xlfn.XLOOKUP(D48,AIR_dump[[#All],[Number]],AIR_dump[[#All],[T]],"not found",0,1)="","",WEEKDAY(_xlfn.XLOOKUP(D48,AIR_dump[[#All],[Number]],AIR_dump[[#All],[T]],"not found",0,1),2))</f>
        <v>4</v>
      </c>
      <c r="V48" s="71" t="str" cm="1">
        <f t="array" ref="V48">_xlfn.XLOOKUP(D48,AIR_dump[[#All],[Number]],AIR_dump[[#All],[T status]],"not found",0,1)</f>
        <v>Closed</v>
      </c>
      <c r="W48" s="71"/>
      <c r="X48" s="71"/>
    </row>
    <row r="49" spans="2:24">
      <c r="B49" s="54" t="str">
        <f t="shared" si="0"/>
        <v/>
      </c>
      <c r="C49" s="50" t="str">
        <f>_xlfn.XLOOKUP(Table3[[#This Row],[AIR]],Errorlog_table[AIR],Errorlog_table[Root_Error],"not found",0,-1)</f>
        <v>not found</v>
      </c>
      <c r="D49" s="55" t="s">
        <v>999</v>
      </c>
      <c r="E49" s="129" t="str">
        <f>HYPERLINK("https://air.asml.com/u_qm_issues.do?sysparm_query=number="&amp;Table3[[#This Row],[AIR]],Table3[[#This Row],[AIR]])</f>
        <v>P827649</v>
      </c>
      <c r="F49" s="55" t="s">
        <v>1246</v>
      </c>
      <c r="G49" s="40" t="str">
        <f>_xlfn.XLOOKUP(Table3[[#This Row],[AIR]],Errorlog_table[AIR],Errorlog_table[Description],"not found",0)</f>
        <v>not found</v>
      </c>
      <c r="H49" s="70">
        <f>SUMIFS(Errorlog_table[Duration],Errorlog_table[AIR],Table3[[#This Row],[AIR]],Errorlog_table[System],$O$2,Errorlog_table[Year_Week_Number],"&lt;"&amp;($Q$2+1))</f>
        <v>0</v>
      </c>
      <c r="I49" s="56">
        <f>COUNTIFS(Errorlog_table[AIR],Table3[[#This Row],[AIR]],Errorlog_table[System],$O$2,Errorlog_table[Year_Week_Number],"&lt;="&amp;$Q$2)</f>
        <v>0</v>
      </c>
      <c r="J49" s="56">
        <f>COUNTIFS(Errorlog_table[AIR],Table3[[#This Row],[AIR]],Errorlog_table[P_Hits],"Y",Errorlog_table[System],$O$2,Errorlog_table[Year_Week_Number],"&lt;="&amp;$Q$2)</f>
        <v>0</v>
      </c>
      <c r="K49" s="56">
        <f>COUNTIFS(Errorlog_table[AIR],Table3[[#This Row],[AIR]],Errorlog_table[P_Hits],"Y",Errorlog_table[Year_Week_Number],"&gt;="&amp;$P$2,Errorlog_table[Year_Week_Number],"&lt;="&amp;$Q$2,Errorlog_table[System],$O$2)</f>
        <v>0</v>
      </c>
      <c r="L49" s="56">
        <f>COUNTIFS(Errorlog_table[AIR],Table3[[#This Row],[AIR]],Errorlog_table[U_Hits],"Y",Errorlog_table[Year_Week_Number],"&gt;="&amp;$P$2,Errorlog_table[Year_Week_Number],"&lt;="&amp;$Q$2,Errorlog_table[System],$O$2)</f>
        <v>0</v>
      </c>
      <c r="M49" s="56" t="str" cm="1">
        <f t="array" ref="M49">_xlfn.XLOOKUP(1,(Errorlog_table[AIR]=Table3[[#This Row],[AIR]])*(Errorlog_table[System]=$O$2)*(Errorlog_table[Year_Week_Number]&lt;=$Q$2)*(Errorlog_table[U_Hits]="Y"),Errorlog_table[Year_Week_Number],"not found",0,-1)</f>
        <v>not found</v>
      </c>
      <c r="N49" s="121" t="s">
        <v>1351</v>
      </c>
      <c r="O49" s="71" t="s">
        <v>1244</v>
      </c>
      <c r="P49" s="71" t="str">
        <f>IF(Table3[[#This Row],['# of P hits]]&gt;0,IF($Q$1="y",IF(Table3[[#This Row],['# of P hits 4wks]]&gt;0,"y","n"),"y"),"n")</f>
        <v>n</v>
      </c>
      <c r="Q49" s="71" t="str">
        <f>IF(_xlfn.XLOOKUP(D49,Error_Log!O:O,Error_Log!F:F,"not found",0,-1)="not found","not found",IF($Q$2-_xlfn.XLOOKUP(D49,Error_Log!O:O,Error_Log!F:F,"not found",0,-1)&lt;=3,"y","n"))</f>
        <v>not found</v>
      </c>
      <c r="R49" s="122" t="e">
        <f>_xlfn.ISOWEEKNUM(_xlfn.XLOOKUP(D49,#REF!,#REF!,"not found",0))</f>
        <v>#REF!</v>
      </c>
      <c r="S49" s="71" cm="1">
        <f t="array" ref="S49">IF(_xlfn.XLOOKUP(D49,AIR_dump[[#All],[Number]],AIR_dump[[#All],[T]],"not found",0,1)="","",YEAR(_xlfn.XLOOKUP(D49,AIR_dump[[#All],[Number]],AIR_dump[[#All],[T]],"not found",0,1)))</f>
        <v>2025</v>
      </c>
      <c r="T49" s="71" cm="1">
        <f t="array" ref="T49">IF(_xlfn.XLOOKUP(D49,AIR_dump[[#All],[Number]],AIR_dump[[#All],[T]],"not found",0,1)="","",_xlfn.ISOWEEKNUM(_xlfn.XLOOKUP(D49,AIR_dump[[#All],[Number]],AIR_dump[[#All],[T]],"not found",0,1)))</f>
        <v>3</v>
      </c>
      <c r="U49" s="71" cm="1">
        <f t="array" ref="U49">IF(_xlfn.XLOOKUP(D49,AIR_dump[[#All],[Number]],AIR_dump[[#All],[T]],"not found",0,1)="","",WEEKDAY(_xlfn.XLOOKUP(D49,AIR_dump[[#All],[Number]],AIR_dump[[#All],[T]],"not found",0,1),2))</f>
        <v>4</v>
      </c>
      <c r="V49" s="71" t="str" cm="1">
        <f t="array" ref="V49">_xlfn.XLOOKUP(D49,AIR_dump[[#All],[Number]],AIR_dump[[#All],[T status]],"not found",0,1)</f>
        <v>Closed</v>
      </c>
      <c r="W49" s="71"/>
      <c r="X49" s="71"/>
    </row>
  </sheetData>
  <phoneticPr fontId="2" type="noConversion"/>
  <conditionalFormatting sqref="C37:C42 V37:V42">
    <cfRule type="expression" dxfId="49" priority="7">
      <formula>$F37="1 - Solved"</formula>
    </cfRule>
    <cfRule type="expression" dxfId="48" priority="8">
      <formula>$F37="4 - Open"</formula>
    </cfRule>
    <cfRule type="expression" dxfId="47" priority="9">
      <formula>$F37="3 - Planned"</formula>
    </cfRule>
    <cfRule type="expression" dxfId="46" priority="10">
      <formula>$F37="2 - Contained"</formula>
    </cfRule>
  </conditionalFormatting>
  <conditionalFormatting sqref="C44:C49">
    <cfRule type="expression" dxfId="45" priority="23">
      <formula>$F44="1 - Solved"</formula>
    </cfRule>
    <cfRule type="expression" dxfId="44" priority="24">
      <formula>$F44="4 - Open"</formula>
    </cfRule>
    <cfRule type="expression" dxfId="43" priority="25">
      <formula>$F44="3 - Planned"</formula>
    </cfRule>
    <cfRule type="expression" dxfId="42" priority="26">
      <formula>$F44="2 - Contained"</formula>
    </cfRule>
  </conditionalFormatting>
  <conditionalFormatting sqref="C5:E36 D37:E42 C43:E43 D44:E45">
    <cfRule type="expression" dxfId="41" priority="110">
      <formula>$F5="1 - Solved"</formula>
    </cfRule>
    <cfRule type="expression" dxfId="40" priority="111">
      <formula>$F5="4 - Open"</formula>
    </cfRule>
    <cfRule type="expression" dxfId="39" priority="112">
      <formula>$F5="3 - Planned"</formula>
    </cfRule>
    <cfRule type="expression" dxfId="38" priority="113">
      <formula>$F5="2 - Contained"</formula>
    </cfRule>
  </conditionalFormatting>
  <conditionalFormatting sqref="D46:D47">
    <cfRule type="expression" dxfId="37" priority="15">
      <formula>$F46="1 - Solved"</formula>
    </cfRule>
    <cfRule type="expression" dxfId="36" priority="16">
      <formula>$F46="4 - Open"</formula>
    </cfRule>
    <cfRule type="expression" dxfId="35" priority="17">
      <formula>$F46="3 - Planned"</formula>
    </cfRule>
    <cfRule type="expression" dxfId="34" priority="18">
      <formula>$F46="2 - Contained"</formula>
    </cfRule>
  </conditionalFormatting>
  <conditionalFormatting sqref="E46:E47">
    <cfRule type="expression" dxfId="33" priority="11">
      <formula>$F46="1 - Solved"</formula>
    </cfRule>
    <cfRule type="expression" dxfId="32" priority="12">
      <formula>$F46="4 - Open"</formula>
    </cfRule>
    <cfRule type="expression" dxfId="31" priority="13">
      <formula>$F46="3 - Planned"</formula>
    </cfRule>
    <cfRule type="expression" dxfId="30" priority="14">
      <formula>$F46="2 - Contained"</formula>
    </cfRule>
  </conditionalFormatting>
  <conditionalFormatting sqref="K5:L50">
    <cfRule type="cellIs" dxfId="29" priority="31" operator="greaterThan">
      <formula>0</formula>
    </cfRule>
  </conditionalFormatting>
  <conditionalFormatting sqref="W37:X42">
    <cfRule type="expression" dxfId="27" priority="2">
      <formula>$F37="1 - Solved"</formula>
    </cfRule>
    <cfRule type="expression" dxfId="26" priority="3">
      <formula>$F37="4 - Open"</formula>
    </cfRule>
    <cfRule type="expression" dxfId="25" priority="4">
      <formula>$F37="3 - Planned"</formula>
    </cfRule>
    <cfRule type="expression" dxfId="24" priority="5">
      <formula>$F37="2 - Contained"</formula>
    </cfRule>
  </conditionalFormatting>
  <conditionalFormatting sqref="AD37:AE42">
    <cfRule type="cellIs" dxfId="23" priority="1" operator="greaterThan">
      <formula>0</formula>
    </cfRule>
  </conditionalFormatting>
  <dataValidations count="1">
    <dataValidation type="list" allowBlank="1" showInputMessage="1" showErrorMessage="1" sqref="F5:F49" xr:uid="{33ED03BF-E5FE-44EF-9A78-8CDA1542A84C}">
      <formula1>$AG$8:$AG$11</formula1>
    </dataValidation>
  </dataValidations>
  <pageMargins left="0.7" right="0.7" top="0.75" bottom="0.75" header="0.3" footer="0.3"/>
  <tableParts count="1">
    <tablePart r:id="rId1"/>
  </tableParts>
  <extLst>
    <ext xmlns:x14="http://schemas.microsoft.com/office/spreadsheetml/2009/9/main" uri="{78C0D931-6437-407d-A8EE-F0AAD7539E65}">
      <x14:conditionalFormattings>
        <x14:conditionalFormatting xmlns:xm="http://schemas.microsoft.com/office/excel/2006/main">
          <x14:cfRule type="containsText" priority="137" operator="containsText" id="{8A24C403-CC1F-436B-9F42-098690BB5E6B}">
            <xm:f>NOT(ISERROR(SEARCH($Q$2,M5)))</xm:f>
            <xm:f>$Q$2</xm:f>
            <x14:dxf>
              <fill>
                <patternFill>
                  <bgColor theme="7" tint="0.79998168889431442"/>
                </patternFill>
              </fill>
            </x14:dxf>
          </x14:cfRule>
          <xm:sqref>M5:M49</xm:sqref>
        </x14:conditionalFormatting>
        <x14:conditionalFormatting xmlns:xm="http://schemas.microsoft.com/office/excel/2006/main">
          <x14:cfRule type="containsText" priority="6" operator="containsText" id="{194C5232-A321-4801-9F35-AB185E5E82ED}">
            <xm:f>NOT(ISERROR(SEARCH($Q$2,AF37)))</xm:f>
            <xm:f>$Q$2</xm:f>
            <x14:dxf>
              <fill>
                <patternFill>
                  <bgColor theme="7" tint="0.79998168889431442"/>
                </patternFill>
              </fill>
            </x14:dxf>
          </x14:cfRule>
          <xm:sqref>AF37:AF42</xm:sqref>
        </x14:conditionalFormatting>
      </x14:conditionalFormatting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DBB64-5F16-439B-81D2-4F0DE7EAF8B6}">
  <sheetPr codeName="Sheet18"/>
  <dimension ref="A1:AE91"/>
  <sheetViews>
    <sheetView zoomScale="70" zoomScaleNormal="70" workbookViewId="0">
      <selection activeCell="X46" sqref="X46"/>
    </sheetView>
  </sheetViews>
  <sheetFormatPr defaultRowHeight="15"/>
  <cols>
    <col min="2" max="2" width="13.42578125" bestFit="1" customWidth="1"/>
    <col min="3" max="3" width="20" bestFit="1" customWidth="1"/>
    <col min="4" max="8" width="8.5703125" customWidth="1"/>
    <col min="9" max="9" width="14" bestFit="1" customWidth="1"/>
    <col min="10" max="11" width="12.85546875" bestFit="1" customWidth="1"/>
    <col min="12" max="12" width="14" bestFit="1" customWidth="1"/>
    <col min="13" max="13" width="10.85546875" bestFit="1" customWidth="1"/>
    <col min="14" max="14" width="12" bestFit="1" customWidth="1"/>
    <col min="15" max="15" width="3" customWidth="1"/>
    <col min="16" max="18" width="8.5703125" customWidth="1"/>
    <col min="19" max="19" width="3" customWidth="1"/>
    <col min="20" max="22" width="8.5703125" customWidth="1"/>
    <col min="23" max="23" width="9.5703125" bestFit="1" customWidth="1"/>
    <col min="24" max="26" width="9.85546875" bestFit="1" customWidth="1"/>
    <col min="27" max="27" width="9.5703125" bestFit="1" customWidth="1"/>
    <col min="28" max="31" width="10.5703125" bestFit="1" customWidth="1"/>
  </cols>
  <sheetData>
    <row r="1" spans="1:31">
      <c r="B1" s="98"/>
      <c r="I1" s="97"/>
      <c r="J1" s="97"/>
      <c r="K1" s="97"/>
      <c r="L1" s="97"/>
      <c r="M1" s="97"/>
      <c r="N1" s="97"/>
      <c r="O1" s="97"/>
      <c r="P1" s="105">
        <v>168</v>
      </c>
      <c r="Q1" s="105" t="s">
        <v>1352</v>
      </c>
      <c r="R1" s="97"/>
      <c r="S1" s="97"/>
      <c r="T1" s="97"/>
      <c r="U1" s="97"/>
      <c r="V1" s="97"/>
      <c r="W1" s="97"/>
      <c r="X1" s="97"/>
      <c r="Y1" s="97"/>
      <c r="Z1" s="97"/>
      <c r="AA1" s="97"/>
      <c r="AB1" s="97"/>
      <c r="AC1" s="97"/>
      <c r="AD1" s="97"/>
      <c r="AE1" s="97"/>
    </row>
    <row r="2" spans="1:31">
      <c r="B2" s="98"/>
      <c r="C2" s="539" t="s">
        <v>1353</v>
      </c>
      <c r="D2" s="539"/>
      <c r="E2" s="539"/>
      <c r="F2" s="539"/>
      <c r="G2" s="539"/>
      <c r="H2" s="539"/>
      <c r="I2" s="539"/>
      <c r="J2" s="99"/>
      <c r="K2" s="99"/>
      <c r="L2" s="99"/>
      <c r="M2" s="99"/>
      <c r="N2" s="99"/>
      <c r="O2" s="97"/>
      <c r="P2" s="105"/>
      <c r="Q2" s="105"/>
      <c r="R2" s="97"/>
      <c r="S2" s="97"/>
      <c r="T2" s="97"/>
      <c r="U2" s="97"/>
      <c r="V2" s="97"/>
      <c r="W2" s="97"/>
      <c r="X2" s="97"/>
      <c r="Y2" s="97"/>
      <c r="Z2" s="97"/>
      <c r="AA2" s="97"/>
      <c r="AB2" s="97"/>
      <c r="AC2" s="97"/>
      <c r="AD2" s="97"/>
      <c r="AE2" s="97"/>
    </row>
    <row r="3" spans="1:31">
      <c r="B3" s="98"/>
      <c r="C3" s="2" t="s">
        <v>1354</v>
      </c>
      <c r="D3" s="2" t="s">
        <v>1355</v>
      </c>
      <c r="E3" s="2" t="s">
        <v>1356</v>
      </c>
      <c r="F3" s="2" t="s">
        <v>1354</v>
      </c>
      <c r="G3" s="2" t="s">
        <v>1355</v>
      </c>
      <c r="H3" s="2" t="s">
        <v>1356</v>
      </c>
      <c r="I3" s="2" t="s">
        <v>1357</v>
      </c>
      <c r="J3" s="2" t="s">
        <v>1358</v>
      </c>
      <c r="K3" s="2" t="s">
        <v>1359</v>
      </c>
      <c r="L3" s="2" t="s">
        <v>1360</v>
      </c>
      <c r="M3" s="2" t="s">
        <v>1361</v>
      </c>
      <c r="N3" s="2" t="s">
        <v>1362</v>
      </c>
      <c r="O3" s="99"/>
      <c r="P3" s="539" t="s">
        <v>1363</v>
      </c>
      <c r="Q3" s="539"/>
      <c r="R3" s="539"/>
      <c r="S3" s="97"/>
      <c r="T3" s="538" t="s">
        <v>1364</v>
      </c>
      <c r="U3" s="538"/>
      <c r="V3" s="538"/>
      <c r="W3" s="97"/>
      <c r="X3" s="538" t="s">
        <v>1365</v>
      </c>
      <c r="Y3" s="538"/>
      <c r="Z3" s="538"/>
      <c r="AA3" s="97"/>
      <c r="AB3" s="97"/>
      <c r="AC3" s="97"/>
      <c r="AD3" s="97"/>
      <c r="AE3" s="97"/>
    </row>
    <row r="4" spans="1:31">
      <c r="C4" s="540" t="s">
        <v>1187</v>
      </c>
      <c r="D4" s="541"/>
      <c r="E4" s="542"/>
      <c r="F4" s="540" t="s">
        <v>1366</v>
      </c>
      <c r="G4" s="541"/>
      <c r="H4" s="542"/>
      <c r="I4" s="540" t="s">
        <v>5</v>
      </c>
      <c r="J4" s="541"/>
      <c r="K4" s="542"/>
      <c r="L4" s="540" t="s">
        <v>961</v>
      </c>
      <c r="M4" s="541"/>
      <c r="N4" s="542"/>
      <c r="O4" s="37"/>
      <c r="P4" s="101" t="s">
        <v>1187</v>
      </c>
      <c r="Q4" s="2" t="s">
        <v>1366</v>
      </c>
      <c r="R4" s="2" t="s">
        <v>5</v>
      </c>
      <c r="S4" s="37"/>
      <c r="T4" s="101" t="s">
        <v>1187</v>
      </c>
      <c r="U4" s="2" t="s">
        <v>1366</v>
      </c>
      <c r="V4" s="2" t="s">
        <v>5</v>
      </c>
      <c r="X4" s="101" t="s">
        <v>1187</v>
      </c>
      <c r="Y4" s="2" t="s">
        <v>1366</v>
      </c>
      <c r="Z4" s="2" t="s">
        <v>5</v>
      </c>
    </row>
    <row r="5" spans="1:31">
      <c r="C5" s="540" t="s">
        <v>1367</v>
      </c>
      <c r="D5" s="541"/>
      <c r="E5" s="542"/>
      <c r="F5" s="540" t="s">
        <v>1368</v>
      </c>
      <c r="G5" s="541"/>
      <c r="H5" s="542"/>
      <c r="I5" s="540" t="s">
        <v>1144</v>
      </c>
      <c r="J5" s="541"/>
      <c r="K5" s="542"/>
      <c r="L5" s="540"/>
      <c r="M5" s="541"/>
      <c r="N5" s="542"/>
      <c r="O5" s="37"/>
      <c r="P5" s="2" t="s">
        <v>1367</v>
      </c>
      <c r="Q5" s="2" t="s">
        <v>1368</v>
      </c>
      <c r="R5" s="2" t="s">
        <v>1144</v>
      </c>
      <c r="S5" s="37"/>
      <c r="T5" s="2" t="s">
        <v>1367</v>
      </c>
      <c r="U5" s="2" t="s">
        <v>1368</v>
      </c>
      <c r="V5" s="2" t="s">
        <v>1144</v>
      </c>
      <c r="X5" s="2" t="s">
        <v>1367</v>
      </c>
      <c r="Y5" s="2" t="s">
        <v>1368</v>
      </c>
      <c r="Z5" s="2" t="s">
        <v>1144</v>
      </c>
    </row>
    <row r="6" spans="1:31">
      <c r="A6" t="str">
        <f t="shared" ref="A6:A28" si="0">"wk"&amp;B6</f>
        <v>wk2430</v>
      </c>
      <c r="B6" s="102">
        <v>2430</v>
      </c>
      <c r="C6" s="106"/>
      <c r="D6" s="106"/>
      <c r="E6" s="106"/>
      <c r="F6" s="106"/>
      <c r="G6" s="106"/>
      <c r="H6" s="106"/>
      <c r="I6" s="100">
        <v>0.99406391780821912</v>
      </c>
      <c r="J6" s="106"/>
      <c r="K6" s="106"/>
      <c r="L6" s="106"/>
      <c r="M6" s="106"/>
      <c r="N6" s="106"/>
      <c r="O6" s="104"/>
      <c r="P6" s="107"/>
      <c r="Q6" s="107"/>
      <c r="R6" s="103">
        <f>I6*$P$1</f>
        <v>167.00273819178082</v>
      </c>
      <c r="T6" s="107"/>
      <c r="U6" s="107"/>
      <c r="V6" s="103">
        <f>_xlfn.XLOOKUP(B6,MTBF_Intel[Week],MTBF_Intel[Productive time '[hrs']],0,0)</f>
        <v>0</v>
      </c>
      <c r="X6" s="109"/>
      <c r="Y6" s="109"/>
      <c r="Z6" s="108">
        <f>IF(R6=0,#N/A,V6/R6)</f>
        <v>0</v>
      </c>
    </row>
    <row r="7" spans="1:31">
      <c r="A7" t="str">
        <f t="shared" si="0"/>
        <v>wk2431</v>
      </c>
      <c r="B7" s="102">
        <v>2431</v>
      </c>
      <c r="C7" s="106"/>
      <c r="D7" s="106"/>
      <c r="E7" s="106"/>
      <c r="F7" s="106"/>
      <c r="G7" s="106"/>
      <c r="H7" s="106"/>
      <c r="I7" s="100">
        <v>0.4444035904910989</v>
      </c>
      <c r="J7" s="106"/>
      <c r="K7" s="106"/>
      <c r="L7" s="106"/>
      <c r="M7" s="106"/>
      <c r="N7" s="106"/>
      <c r="O7" s="104"/>
      <c r="P7" s="107"/>
      <c r="Q7" s="107"/>
      <c r="R7" s="103">
        <f t="shared" ref="R7:R19" si="1">I7*$P$1</f>
        <v>74.659803202504619</v>
      </c>
      <c r="T7" s="107"/>
      <c r="U7" s="107"/>
      <c r="V7" s="103">
        <f>_xlfn.XLOOKUP(B7,MTBF_Intel[Week],MTBF_Intel[Productive time '[hrs']],0,0)</f>
        <v>0</v>
      </c>
      <c r="X7" s="109"/>
      <c r="Y7" s="109"/>
      <c r="Z7" s="108">
        <f t="shared" ref="Z7:Z22" si="2">IF(R7=0,#N/A,V7/R7)</f>
        <v>0</v>
      </c>
    </row>
    <row r="8" spans="1:31">
      <c r="A8" t="str">
        <f t="shared" si="0"/>
        <v>wk2432</v>
      </c>
      <c r="B8" s="102">
        <v>2432</v>
      </c>
      <c r="C8" s="106"/>
      <c r="D8" s="106"/>
      <c r="E8" s="106"/>
      <c r="F8" s="106"/>
      <c r="G8" s="106"/>
      <c r="H8" s="106"/>
      <c r="I8" s="100">
        <v>0.35149470833333335</v>
      </c>
      <c r="J8" s="106"/>
      <c r="K8" s="106"/>
      <c r="L8" s="106"/>
      <c r="M8" s="106"/>
      <c r="N8" s="106"/>
      <c r="O8" s="104"/>
      <c r="P8" s="107"/>
      <c r="Q8" s="107"/>
      <c r="R8" s="103">
        <f t="shared" si="1"/>
        <v>59.051111000000006</v>
      </c>
      <c r="T8" s="107"/>
      <c r="U8" s="107"/>
      <c r="V8" s="103">
        <f>_xlfn.XLOOKUP(B8,MTBF_Intel[Week],MTBF_Intel[Productive time '[hrs']],0,0)</f>
        <v>0</v>
      </c>
      <c r="X8" s="109"/>
      <c r="Y8" s="109"/>
      <c r="Z8" s="108">
        <f t="shared" si="2"/>
        <v>0</v>
      </c>
    </row>
    <row r="9" spans="1:31">
      <c r="A9" t="str">
        <f t="shared" si="0"/>
        <v>wk2433</v>
      </c>
      <c r="B9" s="102">
        <v>2433</v>
      </c>
      <c r="C9" s="106"/>
      <c r="D9" s="106"/>
      <c r="E9" s="106"/>
      <c r="F9" s="106"/>
      <c r="G9" s="106"/>
      <c r="H9" s="106"/>
      <c r="I9" s="100">
        <v>0.67238276328846269</v>
      </c>
      <c r="J9" s="100">
        <v>0.52253894314338267</v>
      </c>
      <c r="K9" s="106"/>
      <c r="L9" s="106"/>
      <c r="M9" s="106"/>
      <c r="N9" s="106"/>
      <c r="O9" s="104"/>
      <c r="P9" s="107"/>
      <c r="Q9" s="107"/>
      <c r="R9" s="103">
        <f t="shared" si="1"/>
        <v>112.96030423246174</v>
      </c>
      <c r="T9" s="107"/>
      <c r="U9" s="107"/>
      <c r="V9" s="103">
        <f>_xlfn.XLOOKUP(B9,MTBF_Intel[Week],MTBF_Intel[Productive time '[hrs']],0,0)</f>
        <v>0</v>
      </c>
      <c r="X9" s="109"/>
      <c r="Y9" s="109"/>
      <c r="Z9" s="108">
        <f t="shared" si="2"/>
        <v>0</v>
      </c>
    </row>
    <row r="10" spans="1:31">
      <c r="A10" t="str">
        <f t="shared" si="0"/>
        <v>wk2434</v>
      </c>
      <c r="B10" s="102">
        <v>2434</v>
      </c>
      <c r="C10" s="106"/>
      <c r="D10" s="106"/>
      <c r="E10" s="106"/>
      <c r="F10" s="106"/>
      <c r="G10" s="106"/>
      <c r="H10" s="106"/>
      <c r="I10" s="100">
        <v>0.3950581729893779</v>
      </c>
      <c r="J10" s="100">
        <v>0.46506122416846341</v>
      </c>
      <c r="K10" s="106"/>
      <c r="L10" s="106"/>
      <c r="M10" s="106"/>
      <c r="N10" s="106"/>
      <c r="O10" s="104"/>
      <c r="P10" s="107"/>
      <c r="Q10" s="107"/>
      <c r="R10" s="103">
        <f t="shared" si="1"/>
        <v>66.369773062215486</v>
      </c>
      <c r="T10" s="107"/>
      <c r="U10" s="107"/>
      <c r="V10" s="103">
        <f>_xlfn.XLOOKUP(B10,MTBF_Intel[Week],MTBF_Intel[Productive time '[hrs']],0,0)</f>
        <v>0</v>
      </c>
      <c r="X10" s="109"/>
      <c r="Y10" s="109"/>
      <c r="Z10" s="108">
        <f t="shared" si="2"/>
        <v>0</v>
      </c>
    </row>
    <row r="11" spans="1:31">
      <c r="A11" t="str">
        <f t="shared" si="0"/>
        <v>wk2435</v>
      </c>
      <c r="B11" s="102">
        <v>2435</v>
      </c>
      <c r="C11" s="106"/>
      <c r="D11" s="106"/>
      <c r="E11" s="106"/>
      <c r="F11" s="106"/>
      <c r="G11" s="106"/>
      <c r="H11" s="106"/>
      <c r="I11" s="100">
        <v>0.47361772619047621</v>
      </c>
      <c r="J11" s="100">
        <v>0.47243153979851099</v>
      </c>
      <c r="K11" s="106"/>
      <c r="L11" s="106"/>
      <c r="M11" s="106"/>
      <c r="N11" s="106"/>
      <c r="O11" s="104"/>
      <c r="P11" s="107"/>
      <c r="Q11" s="107"/>
      <c r="R11" s="103">
        <f t="shared" si="1"/>
        <v>79.567778000000004</v>
      </c>
      <c r="T11" s="107"/>
      <c r="U11" s="107"/>
      <c r="V11" s="103">
        <f>_xlfn.XLOOKUP(B11,MTBF_Intel[Week],MTBF_Intel[Productive time '[hrs']],0,0)</f>
        <v>0</v>
      </c>
      <c r="X11" s="109"/>
      <c r="Y11" s="109"/>
      <c r="Z11" s="108">
        <f t="shared" si="2"/>
        <v>0</v>
      </c>
    </row>
    <row r="12" spans="1:31">
      <c r="A12" t="str">
        <f t="shared" si="0"/>
        <v>wk2436</v>
      </c>
      <c r="B12" s="102">
        <v>2436</v>
      </c>
      <c r="C12" s="106"/>
      <c r="D12" s="106"/>
      <c r="E12" s="106"/>
      <c r="F12" s="100">
        <v>0.65674629930636064</v>
      </c>
      <c r="G12" s="106"/>
      <c r="H12" s="106"/>
      <c r="I12" s="100">
        <v>0.89162903540718319</v>
      </c>
      <c r="J12" s="100">
        <v>0.60804533409445494</v>
      </c>
      <c r="K12" s="106"/>
      <c r="L12" s="106"/>
      <c r="M12" s="106"/>
      <c r="N12" s="106"/>
      <c r="O12" s="104"/>
      <c r="P12" s="107"/>
      <c r="Q12" s="103">
        <f t="shared" ref="Q12:Q19" si="3">F12*$P$1</f>
        <v>110.33337828346859</v>
      </c>
      <c r="R12" s="103">
        <f t="shared" si="1"/>
        <v>149.79367794840678</v>
      </c>
      <c r="T12" s="107"/>
      <c r="U12" s="103" t="e">
        <f>_xlfn.XLOOKUP(B12,#REF!,#REF!,0,0)</f>
        <v>#REF!</v>
      </c>
      <c r="V12" s="103">
        <f>_xlfn.XLOOKUP(B12,MTBF_Intel[Week],MTBF_Intel[Productive time '[hrs']],0,0)</f>
        <v>0</v>
      </c>
      <c r="X12" s="109"/>
      <c r="Y12" s="108" t="e">
        <f t="shared" ref="Y12:Y22" si="4">IF(Q12=0,#N/A,U12/Q12)</f>
        <v>#REF!</v>
      </c>
      <c r="Z12" s="108">
        <f t="shared" si="2"/>
        <v>0</v>
      </c>
    </row>
    <row r="13" spans="1:31">
      <c r="A13" t="str">
        <f t="shared" si="0"/>
        <v>wk2437</v>
      </c>
      <c r="B13" s="102">
        <v>2437</v>
      </c>
      <c r="C13" s="100">
        <v>0.60114065134640526</v>
      </c>
      <c r="D13" s="106"/>
      <c r="E13" s="106"/>
      <c r="F13" s="100">
        <v>1.9363166995187538E-2</v>
      </c>
      <c r="G13" s="106"/>
      <c r="H13" s="106"/>
      <c r="I13" s="100">
        <v>7.1628636904761914E-2</v>
      </c>
      <c r="J13" s="100">
        <v>0.45704365681431824</v>
      </c>
      <c r="K13" s="106"/>
      <c r="L13" s="100">
        <v>0.31206665607374334</v>
      </c>
      <c r="M13" s="106"/>
      <c r="N13" s="106"/>
      <c r="O13" s="104"/>
      <c r="P13" s="103">
        <f t="shared" ref="P13:P19" si="5">C13*$P$1</f>
        <v>100.99162942619608</v>
      </c>
      <c r="Q13" s="103">
        <f t="shared" si="3"/>
        <v>3.2530120551915065</v>
      </c>
      <c r="R13" s="103">
        <f t="shared" si="1"/>
        <v>12.033611000000002</v>
      </c>
      <c r="T13" s="103" t="e">
        <f>_xlfn.XLOOKUP(B13,#REF!,#REF!,0,0)</f>
        <v>#REF!</v>
      </c>
      <c r="U13" s="103" t="e">
        <f>_xlfn.XLOOKUP(B13,#REF!,#REF!,0,0)</f>
        <v>#REF!</v>
      </c>
      <c r="V13" s="103">
        <f>_xlfn.XLOOKUP(B13,MTBF_Intel[Week],MTBF_Intel[Productive time '[hrs']],0,0)</f>
        <v>0</v>
      </c>
      <c r="X13" s="108" t="e">
        <f t="shared" ref="X13:X22" si="6">IF(P13=0,#N/A,T13/P13)</f>
        <v>#REF!</v>
      </c>
      <c r="Y13" s="108" t="e">
        <f t="shared" si="4"/>
        <v>#REF!</v>
      </c>
      <c r="Z13" s="108">
        <f t="shared" si="2"/>
        <v>0</v>
      </c>
    </row>
    <row r="14" spans="1:31">
      <c r="A14" t="str">
        <f t="shared" si="0"/>
        <v>wk2438</v>
      </c>
      <c r="B14" s="102">
        <v>2438</v>
      </c>
      <c r="C14" s="100">
        <v>0.71222700193607213</v>
      </c>
      <c r="D14" s="106"/>
      <c r="E14" s="106"/>
      <c r="F14" s="100">
        <v>0.11357268988917837</v>
      </c>
      <c r="G14" s="106"/>
      <c r="H14" s="106"/>
      <c r="I14" s="100">
        <v>6.9674556006880009E-2</v>
      </c>
      <c r="J14" s="100">
        <v>0.4026614249694998</v>
      </c>
      <c r="K14" s="106"/>
      <c r="L14" s="100">
        <v>0.44535526606744608</v>
      </c>
      <c r="M14" s="106"/>
      <c r="N14" s="106"/>
      <c r="O14" s="104"/>
      <c r="P14" s="103">
        <f t="shared" si="5"/>
        <v>119.65413632526011</v>
      </c>
      <c r="Q14" s="103">
        <f t="shared" si="3"/>
        <v>19.080211901381968</v>
      </c>
      <c r="R14" s="103">
        <f t="shared" si="1"/>
        <v>11.705325409155842</v>
      </c>
      <c r="T14" s="103" t="e">
        <f>_xlfn.XLOOKUP(B14,#REF!,#REF!,0,0)</f>
        <v>#REF!</v>
      </c>
      <c r="U14" s="103" t="e">
        <f>_xlfn.XLOOKUP(B14,#REF!,#REF!,0,0)</f>
        <v>#REF!</v>
      </c>
      <c r="V14" s="103">
        <f>_xlfn.XLOOKUP(B14,MTBF_Intel[Week],MTBF_Intel[Productive time '[hrs']],0,0)</f>
        <v>0</v>
      </c>
      <c r="X14" s="108" t="e">
        <f t="shared" si="6"/>
        <v>#REF!</v>
      </c>
      <c r="Y14" s="108" t="e">
        <f t="shared" si="4"/>
        <v>#REF!</v>
      </c>
      <c r="Z14" s="108">
        <f t="shared" si="2"/>
        <v>0</v>
      </c>
    </row>
    <row r="15" spans="1:31">
      <c r="A15" t="str">
        <f t="shared" si="0"/>
        <v>wk2439</v>
      </c>
      <c r="B15" s="102">
        <v>2439</v>
      </c>
      <c r="C15" s="100">
        <v>0.40227275329597767</v>
      </c>
      <c r="D15" s="106"/>
      <c r="E15" s="106"/>
      <c r="F15" s="100">
        <v>0.89038022544453199</v>
      </c>
      <c r="G15" s="100">
        <v>0.33753636146748062</v>
      </c>
      <c r="H15" s="106"/>
      <c r="I15" s="100">
        <v>0.24509702346145681</v>
      </c>
      <c r="J15" s="100">
        <v>0.34136710370376649</v>
      </c>
      <c r="K15" s="106"/>
      <c r="L15" s="100">
        <v>0.64168446823377667</v>
      </c>
      <c r="M15" s="106"/>
      <c r="N15" s="106"/>
      <c r="O15" s="104"/>
      <c r="P15" s="103">
        <f t="shared" si="5"/>
        <v>67.581822553724251</v>
      </c>
      <c r="Q15" s="103">
        <f t="shared" si="3"/>
        <v>149.58387787468138</v>
      </c>
      <c r="R15" s="103">
        <f t="shared" si="1"/>
        <v>41.176299941524746</v>
      </c>
      <c r="T15" s="103" t="e">
        <f>_xlfn.XLOOKUP(B15,#REF!,#REF!,0,0)</f>
        <v>#REF!</v>
      </c>
      <c r="U15" s="103" t="e">
        <f>_xlfn.XLOOKUP(B15,#REF!,#REF!,0,0)</f>
        <v>#REF!</v>
      </c>
      <c r="V15" s="103">
        <f>_xlfn.XLOOKUP(B15,MTBF_Intel[Week],MTBF_Intel[Productive time '[hrs']],0,0)</f>
        <v>0</v>
      </c>
      <c r="X15" s="108" t="e">
        <f t="shared" si="6"/>
        <v>#REF!</v>
      </c>
      <c r="Y15" s="108" t="e">
        <f t="shared" si="4"/>
        <v>#REF!</v>
      </c>
      <c r="Z15" s="108">
        <f t="shared" si="2"/>
        <v>0</v>
      </c>
    </row>
    <row r="16" spans="1:31">
      <c r="A16" t="str">
        <f t="shared" si="0"/>
        <v>wk2440</v>
      </c>
      <c r="B16" s="102">
        <v>2440</v>
      </c>
      <c r="C16" s="100">
        <v>0.82842348800212362</v>
      </c>
      <c r="D16" s="100">
        <v>0.65290478710673738</v>
      </c>
      <c r="E16" s="106"/>
      <c r="F16" s="100">
        <v>2.0728447318265408E-2</v>
      </c>
      <c r="G16" s="100">
        <v>0.21990392958074428</v>
      </c>
      <c r="H16" s="106"/>
      <c r="I16" s="100">
        <v>0.93216502964799608</v>
      </c>
      <c r="J16" s="100">
        <v>0.33605595641871222</v>
      </c>
      <c r="K16" s="106"/>
      <c r="L16" s="100">
        <v>0.42763526339899216</v>
      </c>
      <c r="M16" s="100">
        <v>0.44352990361044697</v>
      </c>
      <c r="N16" s="106"/>
      <c r="O16" s="104"/>
      <c r="P16" s="103">
        <f t="shared" si="5"/>
        <v>139.17514598435676</v>
      </c>
      <c r="Q16" s="103">
        <f t="shared" si="3"/>
        <v>3.4823791494685885</v>
      </c>
      <c r="R16" s="103">
        <f t="shared" si="1"/>
        <v>156.60372498086335</v>
      </c>
      <c r="T16" s="103" t="e">
        <f>_xlfn.XLOOKUP(B16,#REF!,#REF!,0,0)</f>
        <v>#REF!</v>
      </c>
      <c r="U16" s="103" t="e">
        <f>_xlfn.XLOOKUP(B16,#REF!,#REF!,0,0)</f>
        <v>#REF!</v>
      </c>
      <c r="V16" s="103">
        <f>_xlfn.XLOOKUP(B16,MTBF_Intel[Week],MTBF_Intel[Productive time '[hrs']],0,0)</f>
        <v>0</v>
      </c>
      <c r="X16" s="108" t="e">
        <f t="shared" si="6"/>
        <v>#REF!</v>
      </c>
      <c r="Y16" s="108" t="e">
        <f t="shared" si="4"/>
        <v>#REF!</v>
      </c>
      <c r="Z16" s="108">
        <f t="shared" si="2"/>
        <v>0</v>
      </c>
    </row>
    <row r="17" spans="1:26">
      <c r="A17" t="str">
        <f t="shared" si="0"/>
        <v>wk2441</v>
      </c>
      <c r="B17" s="102">
        <v>2441</v>
      </c>
      <c r="C17" s="100">
        <v>0.93013681790122438</v>
      </c>
      <c r="D17" s="100">
        <v>0.73727955647981769</v>
      </c>
      <c r="E17" s="106"/>
      <c r="F17" s="100">
        <v>0.74379114608176622</v>
      </c>
      <c r="G17" s="100">
        <v>0.39696998877695294</v>
      </c>
      <c r="H17" s="106"/>
      <c r="I17" s="100">
        <v>0.89587331105987611</v>
      </c>
      <c r="J17" s="100">
        <v>0.56228083059718159</v>
      </c>
      <c r="K17" s="106"/>
      <c r="L17" s="100">
        <v>0.8494310585473287</v>
      </c>
      <c r="M17" s="100">
        <v>0.57812164302898217</v>
      </c>
      <c r="N17" s="106"/>
      <c r="O17" s="104"/>
      <c r="P17" s="103">
        <f t="shared" si="5"/>
        <v>156.26298540740569</v>
      </c>
      <c r="Q17" s="103">
        <f t="shared" si="3"/>
        <v>124.95691254173673</v>
      </c>
      <c r="R17" s="103">
        <f t="shared" si="1"/>
        <v>150.50671625805919</v>
      </c>
      <c r="T17" s="103" t="e">
        <f>_xlfn.XLOOKUP(B17,#REF!,#REF!,0,0)</f>
        <v>#REF!</v>
      </c>
      <c r="U17" s="103" t="e">
        <f>_xlfn.XLOOKUP(B17,#REF!,#REF!,0,0)</f>
        <v>#REF!</v>
      </c>
      <c r="V17" s="103">
        <f>_xlfn.XLOOKUP(B17,MTBF_Intel[Week],MTBF_Intel[Productive time '[hrs']],0,0)</f>
        <v>0</v>
      </c>
      <c r="X17" s="108" t="e">
        <f t="shared" si="6"/>
        <v>#REF!</v>
      </c>
      <c r="Y17" s="108" t="e">
        <f t="shared" si="4"/>
        <v>#REF!</v>
      </c>
      <c r="Z17" s="108">
        <f t="shared" si="2"/>
        <v>0</v>
      </c>
    </row>
    <row r="18" spans="1:26">
      <c r="A18" t="str">
        <f t="shared" si="0"/>
        <v>wk2442</v>
      </c>
      <c r="B18" s="102">
        <v>2442</v>
      </c>
      <c r="C18" s="100">
        <v>0.9476072353845405</v>
      </c>
      <c r="D18" s="100">
        <v>0.79900368724538406</v>
      </c>
      <c r="E18" s="106"/>
      <c r="F18" s="100">
        <v>0.89148359159851687</v>
      </c>
      <c r="G18" s="100">
        <v>0.56715954865476481</v>
      </c>
      <c r="H18" s="106"/>
      <c r="I18" s="100">
        <v>0.60387802916895816</v>
      </c>
      <c r="J18" s="100">
        <v>0.66332890950173751</v>
      </c>
      <c r="K18" s="100">
        <v>0.51790741360342485</v>
      </c>
      <c r="L18" s="100">
        <v>0.92535345731113305</v>
      </c>
      <c r="M18" s="100">
        <v>0.693245914397425</v>
      </c>
      <c r="N18" s="106"/>
      <c r="O18" s="104"/>
      <c r="P18" s="103">
        <f t="shared" si="5"/>
        <v>159.19801554460281</v>
      </c>
      <c r="Q18" s="103">
        <f t="shared" si="3"/>
        <v>149.76924338855082</v>
      </c>
      <c r="R18" s="103">
        <f t="shared" si="1"/>
        <v>101.45150890038497</v>
      </c>
      <c r="T18" s="103" t="e">
        <f>_xlfn.XLOOKUP(B18,#REF!,#REF!,0,0)</f>
        <v>#REF!</v>
      </c>
      <c r="U18" s="103" t="e">
        <f>_xlfn.XLOOKUP(B18,#REF!,#REF!,0,0)</f>
        <v>#REF!</v>
      </c>
      <c r="V18" s="103">
        <f>_xlfn.XLOOKUP(B18,MTBF_Intel[Week],MTBF_Intel[Productive time '[hrs']],0,0)</f>
        <v>0</v>
      </c>
      <c r="X18" s="108" t="e">
        <f t="shared" si="6"/>
        <v>#REF!</v>
      </c>
      <c r="Y18" s="108" t="e">
        <f t="shared" si="4"/>
        <v>#REF!</v>
      </c>
      <c r="Z18" s="108">
        <f t="shared" si="2"/>
        <v>0</v>
      </c>
    </row>
    <row r="19" spans="1:26">
      <c r="A19" t="str">
        <f t="shared" si="0"/>
        <v>wk2443</v>
      </c>
      <c r="B19" s="102">
        <v>2443</v>
      </c>
      <c r="C19" s="100">
        <v>0.95822054018608194</v>
      </c>
      <c r="D19" s="100">
        <v>0.91479230763649255</v>
      </c>
      <c r="E19" s="106"/>
      <c r="F19" s="100">
        <v>0.94513854222730942</v>
      </c>
      <c r="G19" s="100">
        <v>0.58667058071110545</v>
      </c>
      <c r="H19" s="106"/>
      <c r="I19" s="100">
        <v>0.40637968498755117</v>
      </c>
      <c r="J19" s="100">
        <v>0.72787136641302586</v>
      </c>
      <c r="K19" s="100">
        <v>0.50264760847562573</v>
      </c>
      <c r="L19" s="100">
        <v>0.96031360749793959</v>
      </c>
      <c r="M19" s="100">
        <v>0.77042815996583525</v>
      </c>
      <c r="N19" s="106"/>
      <c r="O19" s="104"/>
      <c r="P19" s="103">
        <f t="shared" si="5"/>
        <v>160.98105075126176</v>
      </c>
      <c r="Q19" s="103">
        <f t="shared" si="3"/>
        <v>158.78327509418799</v>
      </c>
      <c r="R19" s="103">
        <f t="shared" si="1"/>
        <v>68.271787077908598</v>
      </c>
      <c r="T19" s="103" t="e">
        <f>_xlfn.XLOOKUP(B19,#REF!,#REF!,0,0)</f>
        <v>#REF!</v>
      </c>
      <c r="U19" s="103" t="e">
        <f>_xlfn.XLOOKUP(B19,#REF!,#REF!,0,0)</f>
        <v>#REF!</v>
      </c>
      <c r="V19" s="103">
        <f>_xlfn.XLOOKUP(B19,MTBF_Intel[Week],MTBF_Intel[Productive time '[hrs']],0,0)</f>
        <v>0</v>
      </c>
      <c r="X19" s="108" t="e">
        <f t="shared" si="6"/>
        <v>#REF!</v>
      </c>
      <c r="Y19" s="108" t="e">
        <f t="shared" si="4"/>
        <v>#REF!</v>
      </c>
      <c r="Z19" s="108">
        <f t="shared" si="2"/>
        <v>0</v>
      </c>
    </row>
    <row r="20" spans="1:26">
      <c r="A20" t="str">
        <f t="shared" si="0"/>
        <v>wk2444</v>
      </c>
      <c r="B20" s="102">
        <v>2444</v>
      </c>
      <c r="C20" s="100">
        <v>0.66800000000000004</v>
      </c>
      <c r="D20" s="100">
        <v>0.8729753465970187</v>
      </c>
      <c r="E20" s="106"/>
      <c r="F20" s="100">
        <v>0.98199999999999998</v>
      </c>
      <c r="G20" s="100">
        <v>0.90442297468094113</v>
      </c>
      <c r="H20" s="106"/>
      <c r="I20" s="100">
        <v>0.65600000000000003</v>
      </c>
      <c r="J20" s="100">
        <v>0.65507792244206786</v>
      </c>
      <c r="K20" s="100">
        <v>0.51680369977778728</v>
      </c>
      <c r="L20" s="100">
        <v>0.82273910442705245</v>
      </c>
      <c r="M20" s="100">
        <v>0.88677303885126768</v>
      </c>
      <c r="N20" s="106"/>
      <c r="O20" s="104"/>
      <c r="P20" s="103">
        <f t="shared" ref="P20:P26" si="7">C20*$P$1</f>
        <v>112.224</v>
      </c>
      <c r="Q20" s="103">
        <f t="shared" ref="Q20:Q26" si="8">F20*$P$1</f>
        <v>164.976</v>
      </c>
      <c r="R20" s="103">
        <f t="shared" ref="R20:R26" si="9">I20*$P$1</f>
        <v>110.208</v>
      </c>
      <c r="T20" s="103" t="e">
        <f>_xlfn.XLOOKUP(B20,#REF!,#REF!,0,0)</f>
        <v>#REF!</v>
      </c>
      <c r="U20" s="103" t="e">
        <f>_xlfn.XLOOKUP(B20,#REF!,#REF!,0,0)</f>
        <v>#REF!</v>
      </c>
      <c r="V20" s="103">
        <f>_xlfn.XLOOKUP(B20,MTBF_Intel[Week],MTBF_Intel[Productive time '[hrs']],0,0)</f>
        <v>0</v>
      </c>
      <c r="X20" s="108" t="e">
        <f t="shared" si="6"/>
        <v>#REF!</v>
      </c>
      <c r="Y20" s="108" t="e">
        <f t="shared" si="4"/>
        <v>#REF!</v>
      </c>
      <c r="Z20" s="108">
        <f t="shared" si="2"/>
        <v>0</v>
      </c>
    </row>
    <row r="21" spans="1:26">
      <c r="A21" t="str">
        <f t="shared" si="0"/>
        <v>wk2445</v>
      </c>
      <c r="B21" s="102">
        <v>2445</v>
      </c>
      <c r="C21" s="100">
        <v>0.89700000000000002</v>
      </c>
      <c r="D21" s="100">
        <v>0.86613001304712567</v>
      </c>
      <c r="E21" s="106"/>
      <c r="F21" s="100">
        <v>0.879</v>
      </c>
      <c r="G21" s="100">
        <v>0.93201273177641308</v>
      </c>
      <c r="H21" s="106"/>
      <c r="I21" s="100">
        <v>0.90100000000000002</v>
      </c>
      <c r="J21" s="100">
        <v>0.65183577857759289</v>
      </c>
      <c r="K21" s="100">
        <v>0.55968367087912274</v>
      </c>
      <c r="L21" s="100">
        <v>0.89146680224526864</v>
      </c>
      <c r="M21" s="100">
        <v>0.89616676451655153</v>
      </c>
      <c r="N21" s="106"/>
      <c r="P21" s="103">
        <f t="shared" si="7"/>
        <v>150.696</v>
      </c>
      <c r="Q21" s="103">
        <f t="shared" si="8"/>
        <v>147.672</v>
      </c>
      <c r="R21" s="103">
        <f t="shared" si="9"/>
        <v>151.36799999999999</v>
      </c>
      <c r="T21" s="103" t="e">
        <f>_xlfn.XLOOKUP(B21,#REF!,#REF!,0,0)</f>
        <v>#REF!</v>
      </c>
      <c r="U21" s="103" t="e">
        <f>_xlfn.XLOOKUP(B21,#REF!,#REF!,0,0)</f>
        <v>#REF!</v>
      </c>
      <c r="V21" s="103">
        <f>_xlfn.XLOOKUP(B21,MTBF_Intel[Week],MTBF_Intel[Productive time '[hrs']],0,0)</f>
        <v>0</v>
      </c>
      <c r="X21" s="108" t="e">
        <f t="shared" si="6"/>
        <v>#REF!</v>
      </c>
      <c r="Y21" s="108" t="e">
        <f t="shared" si="4"/>
        <v>#REF!</v>
      </c>
      <c r="Z21" s="108">
        <f t="shared" si="2"/>
        <v>0</v>
      </c>
    </row>
    <row r="22" spans="1:26">
      <c r="A22" t="str">
        <f t="shared" si="0"/>
        <v>wk2446</v>
      </c>
      <c r="B22" s="102">
        <v>2446</v>
      </c>
      <c r="C22" s="100">
        <v>0.77</v>
      </c>
      <c r="D22" s="100">
        <v>0.82278258564332396</v>
      </c>
      <c r="E22" s="106"/>
      <c r="F22" s="100">
        <v>0.88</v>
      </c>
      <c r="G22" s="100">
        <v>0.92372807320837702</v>
      </c>
      <c r="H22" s="106"/>
      <c r="I22" s="100">
        <v>0.96399999999999997</v>
      </c>
      <c r="J22" s="100">
        <v>0.75757911982241821</v>
      </c>
      <c r="K22" s="100">
        <v>0.58377008509249217</v>
      </c>
      <c r="L22" s="100">
        <v>0.82276528942375693</v>
      </c>
      <c r="M22" s="100">
        <v>0.871041602596483</v>
      </c>
      <c r="N22" s="106"/>
      <c r="P22" s="103">
        <f t="shared" si="7"/>
        <v>129.36000000000001</v>
      </c>
      <c r="Q22" s="103">
        <f t="shared" si="8"/>
        <v>147.84</v>
      </c>
      <c r="R22" s="103">
        <f t="shared" si="9"/>
        <v>161.952</v>
      </c>
      <c r="T22" s="103" t="e">
        <f>_xlfn.XLOOKUP(B22,#REF!,#REF!,0,0)</f>
        <v>#REF!</v>
      </c>
      <c r="U22" s="103" t="e">
        <f>_xlfn.XLOOKUP(B22,#REF!,#REF!,0,0)</f>
        <v>#REF!</v>
      </c>
      <c r="V22" s="103">
        <f>_xlfn.XLOOKUP(B22,MTBF_Intel[Week],MTBF_Intel[Productive time '[hrs']],0,0)</f>
        <v>0</v>
      </c>
      <c r="X22" s="108" t="e">
        <f t="shared" si="6"/>
        <v>#REF!</v>
      </c>
      <c r="Y22" s="108" t="e">
        <f t="shared" si="4"/>
        <v>#REF!</v>
      </c>
      <c r="Z22" s="108">
        <f t="shared" si="2"/>
        <v>0</v>
      </c>
    </row>
    <row r="23" spans="1:26">
      <c r="A23" t="str">
        <f t="shared" si="0"/>
        <v>wk2447</v>
      </c>
      <c r="B23" s="102">
        <v>2447</v>
      </c>
      <c r="C23" s="100">
        <v>0.90400000000000003</v>
      </c>
      <c r="D23" s="100">
        <v>0.81053886201423531</v>
      </c>
      <c r="E23" s="106"/>
      <c r="F23" s="100">
        <v>0.91700000000000004</v>
      </c>
      <c r="G23" s="100">
        <v>0.91495469221640391</v>
      </c>
      <c r="H23" s="106"/>
      <c r="I23" s="100">
        <v>0.66600000000000004</v>
      </c>
      <c r="J23" s="100">
        <v>0.80537844064372466</v>
      </c>
      <c r="K23" s="100">
        <v>0.60664221493240855</v>
      </c>
      <c r="L23" s="100">
        <v>0.91054900843779019</v>
      </c>
      <c r="M23" s="100">
        <v>0.86188506849247115</v>
      </c>
      <c r="N23" s="106"/>
      <c r="P23" s="103">
        <f t="shared" si="7"/>
        <v>151.87200000000001</v>
      </c>
      <c r="Q23" s="103">
        <f t="shared" si="8"/>
        <v>154.05600000000001</v>
      </c>
      <c r="R23" s="103">
        <f t="shared" si="9"/>
        <v>111.88800000000001</v>
      </c>
      <c r="T23" s="103" t="e">
        <f>_xlfn.XLOOKUP(B23,#REF!,#REF!,0,0)</f>
        <v>#REF!</v>
      </c>
      <c r="U23" s="103" t="e">
        <f>_xlfn.XLOOKUP(B23,#REF!,#REF!,0,0)</f>
        <v>#REF!</v>
      </c>
      <c r="V23" s="103">
        <f>_xlfn.XLOOKUP(B23,MTBF_Intel[Week],MTBF_Intel[Productive time '[hrs']],0,0)</f>
        <v>0</v>
      </c>
      <c r="X23" s="108" t="e">
        <f t="shared" ref="X23" si="10">IF(P23=0,#N/A,T23/P23)</f>
        <v>#REF!</v>
      </c>
      <c r="Y23" s="108" t="e">
        <f t="shared" ref="Y23" si="11">IF(Q23=0,#N/A,U23/Q23)</f>
        <v>#REF!</v>
      </c>
      <c r="Z23" s="108">
        <f t="shared" ref="Z23" si="12">IF(R23=0,#N/A,V23/R23)</f>
        <v>0</v>
      </c>
    </row>
    <row r="24" spans="1:26">
      <c r="A24" t="str">
        <f t="shared" si="0"/>
        <v>wk2448</v>
      </c>
      <c r="B24" s="102">
        <v>2448</v>
      </c>
      <c r="C24" s="100">
        <v>0.73799999999999999</v>
      </c>
      <c r="D24" s="100">
        <v>0.82779755598606075</v>
      </c>
      <c r="E24" s="106"/>
      <c r="F24" s="100">
        <v>0.41899999999999998</v>
      </c>
      <c r="G24" s="100">
        <v>0.78217995475398316</v>
      </c>
      <c r="H24" s="100">
        <v>0.63400000000000001</v>
      </c>
      <c r="I24" s="100">
        <v>0.496</v>
      </c>
      <c r="J24" s="100">
        <v>0.7524604512311408</v>
      </c>
      <c r="K24" s="100">
        <v>0.60886619854653989</v>
      </c>
      <c r="L24" s="100">
        <v>0.58669467241935358</v>
      </c>
      <c r="M24" s="100">
        <v>0.80556197945204322</v>
      </c>
      <c r="N24" s="106"/>
      <c r="P24" s="103">
        <f t="shared" si="7"/>
        <v>123.98399999999999</v>
      </c>
      <c r="Q24" s="103">
        <f t="shared" si="8"/>
        <v>70.391999999999996</v>
      </c>
      <c r="R24" s="103">
        <f t="shared" si="9"/>
        <v>83.328000000000003</v>
      </c>
      <c r="T24" s="103" t="e">
        <f>_xlfn.XLOOKUP(B24,#REF!,#REF!,0,0)</f>
        <v>#REF!</v>
      </c>
      <c r="U24" s="103" t="e">
        <f>_xlfn.XLOOKUP(B24,#REF!,#REF!,0,0)</f>
        <v>#REF!</v>
      </c>
      <c r="V24" s="103">
        <f>_xlfn.XLOOKUP(B24,MTBF_Intel[Week],MTBF_Intel[Productive time '[hrs']],0,0)</f>
        <v>0</v>
      </c>
      <c r="X24" s="108" t="e">
        <f t="shared" ref="X24:Z25" si="13">IF(P24=0,#N/A,T24/P24)</f>
        <v>#REF!</v>
      </c>
      <c r="Y24" s="108" t="e">
        <f t="shared" si="13"/>
        <v>#REF!</v>
      </c>
      <c r="Z24" s="108">
        <f t="shared" si="13"/>
        <v>0</v>
      </c>
    </row>
    <row r="25" spans="1:26">
      <c r="A25" t="str">
        <f t="shared" si="0"/>
        <v>wk2449</v>
      </c>
      <c r="B25" s="102">
        <v>2449</v>
      </c>
      <c r="C25" s="100">
        <v>0.93799999999999994</v>
      </c>
      <c r="D25" s="100">
        <v>0.83833729475872254</v>
      </c>
      <c r="E25" s="100">
        <v>0.8</v>
      </c>
      <c r="F25" s="100">
        <v>0.59199999999999997</v>
      </c>
      <c r="G25" s="100">
        <v>0.70623403584165978</v>
      </c>
      <c r="H25" s="100">
        <v>0.629</v>
      </c>
      <c r="I25" s="100">
        <v>0.79700000000000004</v>
      </c>
      <c r="J25" s="100">
        <v>0.73074712065291614</v>
      </c>
      <c r="K25" s="100">
        <v>0.60036943299879852</v>
      </c>
      <c r="L25" s="100">
        <v>0.76702886434877127</v>
      </c>
      <c r="M25" s="100">
        <v>0.77401121412774232</v>
      </c>
      <c r="N25" s="100">
        <v>0.71899999999999997</v>
      </c>
      <c r="P25" s="103">
        <f t="shared" si="7"/>
        <v>157.584</v>
      </c>
      <c r="Q25" s="103">
        <f t="shared" si="8"/>
        <v>99.455999999999989</v>
      </c>
      <c r="R25" s="103">
        <f t="shared" si="9"/>
        <v>133.89600000000002</v>
      </c>
      <c r="T25" s="103" t="e">
        <f>_xlfn.XLOOKUP(B25,#REF!,#REF!,0,0)</f>
        <v>#REF!</v>
      </c>
      <c r="U25" s="103" t="e">
        <f>_xlfn.XLOOKUP(B25,#REF!,#REF!,0,0)</f>
        <v>#REF!</v>
      </c>
      <c r="V25" s="103">
        <f>_xlfn.XLOOKUP(B25,MTBF_Intel[Week],MTBF_Intel[Productive time '[hrs']],0,0)</f>
        <v>0</v>
      </c>
      <c r="X25" s="108" t="e">
        <f t="shared" si="13"/>
        <v>#REF!</v>
      </c>
      <c r="Y25" s="108" t="e">
        <f t="shared" si="13"/>
        <v>#REF!</v>
      </c>
      <c r="Z25" s="108">
        <f t="shared" si="13"/>
        <v>0</v>
      </c>
    </row>
    <row r="26" spans="1:26">
      <c r="A26" t="str">
        <f t="shared" si="0"/>
        <v>wk2450</v>
      </c>
      <c r="B26" s="102">
        <v>2450</v>
      </c>
      <c r="C26" s="100">
        <v>0.246</v>
      </c>
      <c r="D26" s="100">
        <v>0.70832010757116304</v>
      </c>
      <c r="E26" s="100">
        <v>0.77100000000000002</v>
      </c>
      <c r="F26" s="100">
        <v>0.92300000000000004</v>
      </c>
      <c r="G26" s="100">
        <v>0.7183819548644369</v>
      </c>
      <c r="H26" s="100">
        <v>0.70699999999999996</v>
      </c>
      <c r="I26" s="100">
        <v>0.88900000000000001</v>
      </c>
      <c r="J26" s="100">
        <v>0.71042005189495205</v>
      </c>
      <c r="K26" s="100">
        <v>0.6707076462959497</v>
      </c>
      <c r="L26" s="100">
        <v>0.58341188015620304</v>
      </c>
      <c r="M26" s="100">
        <v>0.71322894157306727</v>
      </c>
      <c r="N26" s="100">
        <v>0.74099999999999999</v>
      </c>
      <c r="P26" s="103">
        <f t="shared" si="7"/>
        <v>41.328000000000003</v>
      </c>
      <c r="Q26" s="103">
        <f t="shared" si="8"/>
        <v>155.06400000000002</v>
      </c>
      <c r="R26" s="103">
        <f t="shared" si="9"/>
        <v>149.352</v>
      </c>
      <c r="T26" s="103" t="e">
        <f>_xlfn.XLOOKUP(B26,#REF!,#REF!,0,0)</f>
        <v>#REF!</v>
      </c>
      <c r="U26" s="103" t="e">
        <f>_xlfn.XLOOKUP(B26,#REF!,#REF!,0,0)</f>
        <v>#REF!</v>
      </c>
      <c r="V26" s="103">
        <f>_xlfn.XLOOKUP(B26,MTBF_Intel[Week],MTBF_Intel[Productive time '[hrs']],0,0)</f>
        <v>0</v>
      </c>
      <c r="X26" s="108" t="e">
        <f>IF(P26=0,#N/A,T26/P26)</f>
        <v>#REF!</v>
      </c>
      <c r="Y26" s="108" t="e">
        <f>IF(Q26=0,#N/A,U26/Q26)</f>
        <v>#REF!</v>
      </c>
      <c r="Z26" s="108">
        <f>IF(R26=0,#N/A,V26/R26)</f>
        <v>0</v>
      </c>
    </row>
    <row r="27" spans="1:26">
      <c r="A27" t="str">
        <f t="shared" si="0"/>
        <v>wk2451</v>
      </c>
      <c r="B27" s="102">
        <v>2451</v>
      </c>
      <c r="C27" s="100">
        <v>0</v>
      </c>
      <c r="D27" s="100"/>
      <c r="E27" s="100"/>
      <c r="F27" s="100">
        <v>0.85699999999999998</v>
      </c>
      <c r="G27" s="100"/>
      <c r="H27" s="100"/>
      <c r="I27" s="100">
        <v>0.85699999999999998</v>
      </c>
      <c r="J27" s="100">
        <v>0.75900000000000001</v>
      </c>
      <c r="K27" s="100">
        <v>0.72099999999999997</v>
      </c>
      <c r="L27" s="100">
        <f>(C27+F27)/2</f>
        <v>0.42849999999999999</v>
      </c>
      <c r="M27" s="100">
        <f>SUM(L24:L27)/4</f>
        <v>0.59140885423108203</v>
      </c>
      <c r="N27" s="100">
        <f>SUM(L15:L27)/13</f>
        <v>0.73981334434210533</v>
      </c>
      <c r="P27" s="158"/>
      <c r="T27" s="158" t="e">
        <f>SUM(T23:T26)/4</f>
        <v>#REF!</v>
      </c>
      <c r="U27" s="158" t="e">
        <f>SUM(U23:U26)/4</f>
        <v>#REF!</v>
      </c>
      <c r="V27" s="158">
        <f>SUM(V23:V26)/4</f>
        <v>0</v>
      </c>
    </row>
    <row r="28" spans="1:26">
      <c r="A28" t="str">
        <f t="shared" si="0"/>
        <v>wk2452</v>
      </c>
      <c r="B28" s="102">
        <v>2452</v>
      </c>
      <c r="C28" s="100">
        <v>0.85699999999999998</v>
      </c>
      <c r="D28" s="100"/>
      <c r="E28" s="100">
        <v>0.748</v>
      </c>
      <c r="F28" s="100">
        <v>0.85699999999999998</v>
      </c>
      <c r="G28" s="100"/>
      <c r="H28" s="100">
        <v>0.76200000000000001</v>
      </c>
      <c r="I28" s="100">
        <v>0.85699999999999998</v>
      </c>
      <c r="J28" s="100">
        <v>0.85</v>
      </c>
      <c r="K28" s="100">
        <v>0.77200000000000002</v>
      </c>
      <c r="L28" s="100">
        <f>(C28+F28)/2</f>
        <v>0.85699999999999998</v>
      </c>
      <c r="M28" s="100">
        <f>SUM(L25:L28)/4</f>
        <v>0.65898518612624368</v>
      </c>
      <c r="N28" s="100">
        <f>SUM(L16:L28)/13</f>
        <v>0.75637607755489156</v>
      </c>
      <c r="P28" s="158"/>
      <c r="T28" s="158" t="e">
        <f>SUM(T23:T26)/4</f>
        <v>#REF!</v>
      </c>
      <c r="U28" s="158" t="e">
        <f>SUM(U23:U26)/4</f>
        <v>#REF!</v>
      </c>
      <c r="V28" s="158">
        <f>SUM(V23:V26)/4</f>
        <v>0</v>
      </c>
    </row>
    <row r="31" spans="1:26">
      <c r="T31" s="151" t="e">
        <f>SUM(T22:V25)/SUM(P22:R25)</f>
        <v>#REF!</v>
      </c>
      <c r="U31" t="s">
        <v>1369</v>
      </c>
      <c r="X31" s="152" t="e">
        <f>SUM(T22:T25)/SUM(P22:P25)</f>
        <v>#REF!</v>
      </c>
      <c r="Y31" s="152" t="e">
        <f>SUM(U22:U25)/SUM(Q22:Q25)</f>
        <v>#REF!</v>
      </c>
      <c r="Z31" s="152">
        <f>SUM(V22:V25)/SUM(R22:R25)</f>
        <v>0</v>
      </c>
    </row>
    <row r="36" spans="20:22">
      <c r="T36">
        <v>168</v>
      </c>
      <c r="U36" s="110">
        <v>0.6</v>
      </c>
      <c r="V36">
        <f>V37*U36</f>
        <v>80.64</v>
      </c>
    </row>
    <row r="37" spans="20:22">
      <c r="U37" s="110">
        <v>0.8</v>
      </c>
      <c r="V37">
        <f>T36*U37</f>
        <v>134.4</v>
      </c>
    </row>
    <row r="59" spans="1:12">
      <c r="A59" t="s">
        <v>5</v>
      </c>
    </row>
    <row r="60" spans="1:12">
      <c r="A60" s="88" t="s">
        <v>83</v>
      </c>
      <c r="B60" s="88" t="s">
        <v>1135</v>
      </c>
      <c r="C60" s="88" t="s">
        <v>1136</v>
      </c>
      <c r="D60" s="88" t="s">
        <v>1137</v>
      </c>
      <c r="E60" s="88" t="s">
        <v>75</v>
      </c>
      <c r="F60" s="88" t="s">
        <v>76</v>
      </c>
      <c r="G60" s="88" t="s">
        <v>1138</v>
      </c>
      <c r="H60" s="88" t="s">
        <v>1139</v>
      </c>
      <c r="I60" s="88" t="s">
        <v>1140</v>
      </c>
      <c r="J60" s="88" t="s">
        <v>1141</v>
      </c>
      <c r="K60" s="88" t="s">
        <v>1142</v>
      </c>
      <c r="L60" s="88" t="s">
        <v>1143</v>
      </c>
    </row>
    <row r="61" spans="1:12">
      <c r="A61" s="37">
        <v>2439</v>
      </c>
      <c r="B61" s="37" t="s">
        <v>1259</v>
      </c>
      <c r="C61" s="37">
        <v>21.1</v>
      </c>
      <c r="D61" s="37">
        <v>39.4</v>
      </c>
      <c r="E61" s="37">
        <v>0</v>
      </c>
      <c r="F61" s="37">
        <v>1</v>
      </c>
      <c r="G61" s="37">
        <v>21.1</v>
      </c>
      <c r="H61" s="37">
        <v>18.391203833333336</v>
      </c>
      <c r="I61" s="37">
        <v>0</v>
      </c>
      <c r="J61" s="37">
        <v>39.4</v>
      </c>
      <c r="K61" s="37">
        <v>23.042747111111112</v>
      </c>
      <c r="L61" s="37">
        <v>0</v>
      </c>
    </row>
    <row r="62" spans="1:12">
      <c r="A62" s="37">
        <v>2440</v>
      </c>
      <c r="B62" s="37" t="s">
        <v>1263</v>
      </c>
      <c r="C62" s="37">
        <v>109</v>
      </c>
      <c r="D62" s="37">
        <v>139.4</v>
      </c>
      <c r="E62" s="37">
        <v>2</v>
      </c>
      <c r="F62" s="37">
        <v>2</v>
      </c>
      <c r="G62" s="37">
        <v>54.5</v>
      </c>
      <c r="H62" s="37">
        <v>45.433333333333337</v>
      </c>
      <c r="I62" s="37">
        <v>0</v>
      </c>
      <c r="J62" s="37">
        <v>69.7</v>
      </c>
      <c r="K62" s="37">
        <v>49.674999999999997</v>
      </c>
      <c r="L62" s="37">
        <v>0</v>
      </c>
    </row>
    <row r="63" spans="1:12">
      <c r="A63" s="37">
        <v>2441</v>
      </c>
      <c r="B63" s="37" t="s">
        <v>1370</v>
      </c>
      <c r="C63" s="37">
        <v>120.078056</v>
      </c>
      <c r="D63" s="37">
        <v>137.47999899999999</v>
      </c>
      <c r="E63" s="37">
        <v>3</v>
      </c>
      <c r="F63" s="37">
        <v>4</v>
      </c>
      <c r="G63" s="37">
        <v>40.026018666666666</v>
      </c>
      <c r="H63" s="37">
        <v>50.035611199999998</v>
      </c>
      <c r="I63" s="37">
        <v>0</v>
      </c>
      <c r="J63" s="37">
        <v>34.369999749999998</v>
      </c>
      <c r="K63" s="37">
        <v>46.311428428571425</v>
      </c>
      <c r="L63" s="37">
        <v>0</v>
      </c>
    </row>
    <row r="64" spans="1:12">
      <c r="A64" s="37">
        <v>2442</v>
      </c>
      <c r="B64" s="37" t="s">
        <v>1255</v>
      </c>
      <c r="C64" s="37">
        <v>76.483610999999996</v>
      </c>
      <c r="D64" s="37">
        <v>88.037222</v>
      </c>
      <c r="E64" s="37">
        <v>0</v>
      </c>
      <c r="F64" s="37">
        <v>0</v>
      </c>
      <c r="G64" s="37">
        <v>76.483610999999996</v>
      </c>
      <c r="H64" s="37">
        <v>65.332333399999996</v>
      </c>
      <c r="I64" s="37">
        <v>17.924776064516127</v>
      </c>
      <c r="J64" s="37">
        <v>88.037222</v>
      </c>
      <c r="K64" s="37">
        <v>57.759602999999991</v>
      </c>
      <c r="L64" s="37">
        <v>17.809667678571426</v>
      </c>
    </row>
    <row r="65" spans="1:12">
      <c r="A65" s="37">
        <v>2443</v>
      </c>
      <c r="B65" s="37" t="s">
        <v>1312</v>
      </c>
      <c r="C65" s="37">
        <v>25.900000000000002</v>
      </c>
      <c r="D65" s="37">
        <v>48.4</v>
      </c>
      <c r="E65" s="37">
        <v>0</v>
      </c>
      <c r="F65" s="37">
        <v>2</v>
      </c>
      <c r="G65" s="37">
        <v>25.900000000000002</v>
      </c>
      <c r="H65" s="37">
        <v>66.29233339999999</v>
      </c>
      <c r="I65" s="37">
        <v>18.060313677419355</v>
      </c>
      <c r="J65" s="37">
        <v>24.2</v>
      </c>
      <c r="K65" s="37">
        <v>51.664652624999995</v>
      </c>
      <c r="L65" s="37">
        <v>17.70979045614035</v>
      </c>
    </row>
    <row r="66" spans="1:12">
      <c r="A66" s="37">
        <v>2444</v>
      </c>
      <c r="B66" s="37" t="s">
        <v>1282</v>
      </c>
      <c r="C66" s="37">
        <v>41.8</v>
      </c>
      <c r="D66" s="37">
        <v>76.800000000000011</v>
      </c>
      <c r="E66" s="37">
        <v>0</v>
      </c>
      <c r="F66" s="37">
        <v>2</v>
      </c>
      <c r="G66" s="37">
        <v>41.8</v>
      </c>
      <c r="H66" s="37">
        <v>88.08722233333333</v>
      </c>
      <c r="I66" s="37">
        <v>18.558557387096773</v>
      </c>
      <c r="J66" s="37">
        <v>38.400000000000006</v>
      </c>
      <c r="K66" s="37">
        <v>43.839652624999999</v>
      </c>
      <c r="L66" s="37">
        <v>20.234483340000001</v>
      </c>
    </row>
    <row r="67" spans="1:12">
      <c r="A67" s="37">
        <v>2445</v>
      </c>
      <c r="B67" s="37" t="s">
        <v>1343</v>
      </c>
      <c r="C67" s="37">
        <v>88.7</v>
      </c>
      <c r="D67" s="37">
        <v>129.30000000000001</v>
      </c>
      <c r="E67" s="37">
        <v>3</v>
      </c>
      <c r="F67" s="37">
        <v>6</v>
      </c>
      <c r="G67" s="37">
        <v>29.566666666666666</v>
      </c>
      <c r="H67" s="37">
        <v>77.62787033333332</v>
      </c>
      <c r="I67" s="37">
        <v>21.557888933333334</v>
      </c>
      <c r="J67" s="37">
        <v>21.55</v>
      </c>
      <c r="K67" s="37">
        <v>34.253722200000006</v>
      </c>
      <c r="L67" s="37">
        <v>22.081082775510204</v>
      </c>
    </row>
    <row r="68" spans="1:12">
      <c r="A68" s="37">
        <v>2446</v>
      </c>
      <c r="B68" s="37" t="s">
        <v>1305</v>
      </c>
      <c r="C68" s="37">
        <v>98.800000000000011</v>
      </c>
      <c r="D68" s="37">
        <v>155.10000000000002</v>
      </c>
      <c r="E68" s="37">
        <v>0</v>
      </c>
      <c r="F68" s="37">
        <v>4</v>
      </c>
      <c r="G68" s="37">
        <v>98.800000000000011</v>
      </c>
      <c r="H68" s="37">
        <v>85.066666666666677</v>
      </c>
      <c r="I68" s="37">
        <v>26.313209925925928</v>
      </c>
      <c r="J68" s="37">
        <v>38.775000000000006</v>
      </c>
      <c r="K68" s="37">
        <v>29.25714285714286</v>
      </c>
      <c r="L68" s="37">
        <v>26.198966418604645</v>
      </c>
    </row>
    <row r="69" spans="1:12">
      <c r="A69" s="37">
        <v>2447</v>
      </c>
      <c r="B69" s="37" t="s">
        <v>1371</v>
      </c>
      <c r="C69" s="37">
        <v>57.9</v>
      </c>
      <c r="D69" s="37">
        <v>105.9</v>
      </c>
      <c r="E69" s="37">
        <v>4</v>
      </c>
      <c r="F69" s="37">
        <v>10</v>
      </c>
      <c r="G69" s="37">
        <v>14.475</v>
      </c>
      <c r="H69" s="37">
        <v>41.028571428571425</v>
      </c>
      <c r="I69" s="37">
        <v>33.924267681818179</v>
      </c>
      <c r="J69" s="37">
        <v>10.59</v>
      </c>
      <c r="K69" s="37">
        <v>21.231818181818184</v>
      </c>
      <c r="L69" s="37">
        <v>27.148133069767439</v>
      </c>
    </row>
    <row r="70" spans="1:12">
      <c r="A70" s="37">
        <v>2448</v>
      </c>
      <c r="B70" s="37" t="s">
        <v>1372</v>
      </c>
      <c r="C70" s="37">
        <v>67.699999999999989</v>
      </c>
      <c r="D70" s="37">
        <v>80.800000000000011</v>
      </c>
      <c r="E70" s="37">
        <v>2</v>
      </c>
      <c r="F70" s="37">
        <v>2</v>
      </c>
      <c r="G70" s="37">
        <v>33.849999999999994</v>
      </c>
      <c r="H70" s="37">
        <v>34.788888888888891</v>
      </c>
      <c r="I70" s="37">
        <v>39.835444499999994</v>
      </c>
      <c r="J70" s="37">
        <v>40.400000000000006</v>
      </c>
      <c r="K70" s="37">
        <v>21.413636363636368</v>
      </c>
      <c r="L70" s="37">
        <v>28.50248646341463</v>
      </c>
    </row>
    <row r="71" spans="1:12">
      <c r="A71" s="37">
        <v>2449</v>
      </c>
      <c r="B71" s="37" t="s">
        <v>1373</v>
      </c>
      <c r="C71" s="37">
        <v>106</v>
      </c>
      <c r="D71" s="37">
        <v>129.80000000000001</v>
      </c>
      <c r="E71" s="37">
        <v>3</v>
      </c>
      <c r="F71" s="37">
        <v>3</v>
      </c>
      <c r="G71" s="37">
        <v>35.333333333333336</v>
      </c>
      <c r="H71" s="37">
        <v>36.711111111111109</v>
      </c>
      <c r="I71" s="37">
        <v>45.536759277777769</v>
      </c>
      <c r="J71" s="37">
        <v>43.266666666666673</v>
      </c>
      <c r="K71" s="37">
        <v>24.821052631578947</v>
      </c>
      <c r="L71" s="37">
        <v>31.089654621621616</v>
      </c>
    </row>
    <row r="72" spans="1:12">
      <c r="A72" s="37">
        <v>2450</v>
      </c>
      <c r="B72" s="37" t="s">
        <v>1374</v>
      </c>
      <c r="C72" s="37">
        <v>94.300000000000011</v>
      </c>
      <c r="D72" s="37">
        <v>137.69999999999999</v>
      </c>
      <c r="E72" s="37">
        <v>3</v>
      </c>
      <c r="F72" s="37">
        <v>3</v>
      </c>
      <c r="G72" s="37">
        <v>31.433333333333337</v>
      </c>
      <c r="H72" s="37">
        <v>27.158333333333331</v>
      </c>
      <c r="I72" s="37">
        <v>45.388083349999988</v>
      </c>
      <c r="J72" s="37">
        <v>45.9</v>
      </c>
      <c r="K72" s="37">
        <v>25.233333333333334</v>
      </c>
      <c r="L72" s="37">
        <v>32.718390282051281</v>
      </c>
    </row>
    <row r="73" spans="1:12">
      <c r="A73" s="37">
        <v>2451</v>
      </c>
      <c r="B73" s="37"/>
      <c r="C73" s="37">
        <v>90</v>
      </c>
      <c r="D73" s="37"/>
      <c r="E73" s="37">
        <v>2</v>
      </c>
      <c r="F73" s="37"/>
      <c r="G73" s="37">
        <f>C73/E73</f>
        <v>45</v>
      </c>
      <c r="H73" s="37">
        <f>SUM(C70:C73)/SUM(E70:E73)</f>
        <v>35.799999999999997</v>
      </c>
      <c r="I73" s="37">
        <f>SUM(C61:C73)/SUM(E61:E73)</f>
        <v>45.352803045454536</v>
      </c>
      <c r="J73" s="37"/>
      <c r="K73" s="37"/>
      <c r="L73" s="37"/>
    </row>
    <row r="74" spans="1:12">
      <c r="A74" s="37">
        <v>2452</v>
      </c>
      <c r="B74" s="37"/>
      <c r="C74" s="37">
        <v>90</v>
      </c>
      <c r="D74" s="37"/>
      <c r="E74" s="37">
        <v>2</v>
      </c>
      <c r="F74" s="37"/>
      <c r="G74" s="37">
        <f>C74/E74</f>
        <v>45</v>
      </c>
      <c r="H74" s="37">
        <f>SUM(C71:C74)/SUM(E71:E74)</f>
        <v>38.03</v>
      </c>
      <c r="I74" s="37">
        <f>SUM(C62:C74)/SUM(E62:E74)</f>
        <v>44.444236124999996</v>
      </c>
      <c r="J74" s="37"/>
      <c r="K74" s="37"/>
      <c r="L74" s="37"/>
    </row>
    <row r="76" spans="1:12">
      <c r="A76" t="s">
        <v>961</v>
      </c>
    </row>
    <row r="77" spans="1:12">
      <c r="A77" s="88" t="s">
        <v>83</v>
      </c>
      <c r="B77" s="88" t="s">
        <v>1135</v>
      </c>
      <c r="C77" s="88" t="s">
        <v>1136</v>
      </c>
      <c r="D77" s="88" t="s">
        <v>1137</v>
      </c>
      <c r="E77" s="88" t="s">
        <v>75</v>
      </c>
      <c r="F77" s="88" t="s">
        <v>76</v>
      </c>
      <c r="G77" s="88" t="s">
        <v>1138</v>
      </c>
      <c r="H77" s="88" t="s">
        <v>1139</v>
      </c>
      <c r="I77" s="88" t="s">
        <v>1140</v>
      </c>
      <c r="J77" s="88" t="s">
        <v>1141</v>
      </c>
      <c r="K77" s="88" t="s">
        <v>1142</v>
      </c>
      <c r="L77" s="88" t="s">
        <v>1143</v>
      </c>
    </row>
    <row r="78" spans="1:12">
      <c r="A78">
        <v>2439</v>
      </c>
      <c r="B78" t="s">
        <v>1259</v>
      </c>
      <c r="C78">
        <v>64.699999999999989</v>
      </c>
      <c r="D78">
        <v>147.80000000000001</v>
      </c>
      <c r="E78">
        <v>4</v>
      </c>
      <c r="F78">
        <v>7</v>
      </c>
      <c r="G78">
        <v>16.174999999999997</v>
      </c>
      <c r="H78">
        <v>17.294850461538463</v>
      </c>
      <c r="J78">
        <v>21.114285714285717</v>
      </c>
      <c r="K78">
        <v>20.440234000000004</v>
      </c>
    </row>
    <row r="79" spans="1:12">
      <c r="A79">
        <v>2440</v>
      </c>
      <c r="B79" t="s">
        <v>1263</v>
      </c>
      <c r="C79">
        <v>24.799999999999997</v>
      </c>
      <c r="D79">
        <v>140.20000000000002</v>
      </c>
      <c r="E79">
        <v>0</v>
      </c>
      <c r="F79">
        <v>1</v>
      </c>
      <c r="G79">
        <v>24.799999999999997</v>
      </c>
      <c r="H79">
        <v>18.36408123076923</v>
      </c>
      <c r="J79">
        <v>140.20000000000002</v>
      </c>
      <c r="K79">
        <v>25.103222300000006</v>
      </c>
    </row>
    <row r="80" spans="1:12">
      <c r="A80">
        <v>2441</v>
      </c>
      <c r="B80" t="s">
        <v>1370</v>
      </c>
      <c r="C80">
        <v>87.103331999999995</v>
      </c>
      <c r="D80">
        <v>217.45694400000002</v>
      </c>
      <c r="E80">
        <v>0</v>
      </c>
      <c r="F80">
        <v>3</v>
      </c>
      <c r="G80">
        <v>87.103331999999995</v>
      </c>
      <c r="H80">
        <v>39.840925666666664</v>
      </c>
      <c r="J80">
        <v>72.485648000000012</v>
      </c>
      <c r="K80">
        <v>38.888454812500001</v>
      </c>
    </row>
    <row r="81" spans="1:12">
      <c r="A81">
        <v>2442</v>
      </c>
      <c r="B81" t="s">
        <v>1255</v>
      </c>
      <c r="C81">
        <v>75.012778999999995</v>
      </c>
      <c r="D81">
        <v>235.37750199999999</v>
      </c>
      <c r="E81">
        <v>1</v>
      </c>
      <c r="F81">
        <v>3</v>
      </c>
      <c r="G81">
        <v>75.012778999999995</v>
      </c>
      <c r="H81">
        <v>50.323222199999989</v>
      </c>
      <c r="J81">
        <v>78.459167333333326</v>
      </c>
      <c r="K81">
        <v>52.91674614285715</v>
      </c>
    </row>
    <row r="82" spans="1:12">
      <c r="A82">
        <v>2443</v>
      </c>
      <c r="B82" t="s">
        <v>1312</v>
      </c>
      <c r="C82">
        <v>111.6</v>
      </c>
      <c r="D82">
        <v>267.59999999999997</v>
      </c>
      <c r="E82">
        <v>2</v>
      </c>
      <c r="F82">
        <v>5</v>
      </c>
      <c r="G82">
        <v>55.8</v>
      </c>
      <c r="H82">
        <v>99.505370333333346</v>
      </c>
      <c r="J82">
        <v>53.519999999999996</v>
      </c>
      <c r="K82">
        <v>71.719537166666669</v>
      </c>
    </row>
    <row r="83" spans="1:12">
      <c r="A83">
        <v>2444</v>
      </c>
      <c r="B83" t="s">
        <v>1282</v>
      </c>
      <c r="C83">
        <v>184</v>
      </c>
      <c r="D83">
        <v>265.5</v>
      </c>
      <c r="E83">
        <v>2</v>
      </c>
      <c r="F83">
        <v>4</v>
      </c>
      <c r="G83">
        <v>92</v>
      </c>
      <c r="H83">
        <v>91.543222199999988</v>
      </c>
      <c r="J83">
        <v>66.375</v>
      </c>
      <c r="K83">
        <v>65.728963066666665</v>
      </c>
    </row>
    <row r="84" spans="1:12">
      <c r="A84">
        <v>2445</v>
      </c>
      <c r="B84" t="s">
        <v>1343</v>
      </c>
      <c r="C84">
        <v>180.3</v>
      </c>
      <c r="D84">
        <v>291.7</v>
      </c>
      <c r="E84">
        <v>6</v>
      </c>
      <c r="F84">
        <v>9</v>
      </c>
      <c r="G84">
        <v>30.05</v>
      </c>
      <c r="H84">
        <v>50.082979909090909</v>
      </c>
      <c r="J84">
        <v>32.411111111111111</v>
      </c>
      <c r="K84">
        <v>50.484642952380952</v>
      </c>
    </row>
    <row r="85" spans="1:12">
      <c r="A85">
        <v>2446</v>
      </c>
      <c r="B85" t="s">
        <v>1305</v>
      </c>
      <c r="C85">
        <v>179.5</v>
      </c>
      <c r="D85">
        <v>272</v>
      </c>
      <c r="E85">
        <v>6</v>
      </c>
      <c r="F85">
        <v>14</v>
      </c>
      <c r="G85">
        <v>29.916666666666668</v>
      </c>
      <c r="H85">
        <v>40.962500000000006</v>
      </c>
      <c r="J85">
        <v>19.428571428571427</v>
      </c>
      <c r="K85">
        <v>34.274999999999999</v>
      </c>
    </row>
    <row r="86" spans="1:12">
      <c r="A86">
        <v>2447</v>
      </c>
      <c r="B86" t="s">
        <v>1371</v>
      </c>
      <c r="C86">
        <v>121.00000000000001</v>
      </c>
      <c r="D86">
        <v>296</v>
      </c>
      <c r="E86">
        <v>6</v>
      </c>
      <c r="F86">
        <v>9</v>
      </c>
      <c r="G86">
        <v>20.166666666666668</v>
      </c>
      <c r="H86">
        <v>33.239999999999995</v>
      </c>
      <c r="J86">
        <v>32.888888888888886</v>
      </c>
      <c r="K86">
        <v>31.255555555555556</v>
      </c>
    </row>
    <row r="87" spans="1:12">
      <c r="A87">
        <v>2448</v>
      </c>
      <c r="B87" t="s">
        <v>1372</v>
      </c>
      <c r="C87">
        <v>74.3</v>
      </c>
      <c r="D87">
        <v>182.2</v>
      </c>
      <c r="E87">
        <v>3</v>
      </c>
      <c r="F87">
        <v>6</v>
      </c>
      <c r="G87">
        <v>24.766666666666666</v>
      </c>
      <c r="H87">
        <v>26.433333333333334</v>
      </c>
      <c r="J87">
        <v>30.366666666666664</v>
      </c>
      <c r="K87">
        <v>27.418421052631583</v>
      </c>
    </row>
    <row r="88" spans="1:12">
      <c r="A88">
        <v>2449</v>
      </c>
      <c r="B88" t="s">
        <v>1373</v>
      </c>
      <c r="C88">
        <v>132</v>
      </c>
      <c r="D88">
        <v>252.3</v>
      </c>
      <c r="E88">
        <v>5</v>
      </c>
      <c r="F88">
        <v>14</v>
      </c>
      <c r="G88">
        <v>26.4</v>
      </c>
      <c r="H88">
        <v>26.426923076923078</v>
      </c>
      <c r="I88">
        <v>31.692026522727271</v>
      </c>
      <c r="J88">
        <v>18.021428571428572</v>
      </c>
      <c r="K88">
        <v>24.888461538461538</v>
      </c>
      <c r="L88">
        <v>32.283895310344832</v>
      </c>
    </row>
    <row r="89" spans="1:12">
      <c r="A89">
        <v>2450</v>
      </c>
      <c r="B89" t="s">
        <v>1374</v>
      </c>
      <c r="C89">
        <v>105.4</v>
      </c>
      <c r="D89">
        <v>191.20000000000002</v>
      </c>
      <c r="E89">
        <v>4</v>
      </c>
      <c r="F89">
        <v>5</v>
      </c>
      <c r="G89">
        <v>26.349999999999998</v>
      </c>
      <c r="H89">
        <v>25.508333333333336</v>
      </c>
      <c r="I89">
        <v>31.019774312500001</v>
      </c>
      <c r="J89">
        <v>38.24</v>
      </c>
      <c r="K89">
        <v>24.868750000000002</v>
      </c>
      <c r="L89">
        <v>32.319553173913043</v>
      </c>
    </row>
    <row r="90" spans="1:12">
      <c r="A90">
        <v>2451</v>
      </c>
      <c r="C90">
        <v>180</v>
      </c>
      <c r="E90">
        <v>4</v>
      </c>
      <c r="G90">
        <f>C90/E90</f>
        <v>45</v>
      </c>
      <c r="H90" s="37">
        <f>SUM(C87:C90)/SUM(E87:E90)</f>
        <v>30.731250000000003</v>
      </c>
      <c r="I90" s="37">
        <f>SUM(C78:C90)/SUM(E78:E90)</f>
        <v>35.342235139534885</v>
      </c>
    </row>
    <row r="91" spans="1:12">
      <c r="A91">
        <v>2452</v>
      </c>
      <c r="C91">
        <v>180</v>
      </c>
      <c r="E91">
        <v>4</v>
      </c>
      <c r="G91">
        <f>C91/E91</f>
        <v>45</v>
      </c>
      <c r="H91" s="37">
        <f>SUM(C88:C91)/SUM(E88:E91)</f>
        <v>35.141176470588235</v>
      </c>
      <c r="I91" s="37">
        <f>SUM(C79:C91)/SUM(E79:E91)</f>
        <v>38.023630488372099</v>
      </c>
    </row>
  </sheetData>
  <mergeCells count="12">
    <mergeCell ref="L5:N5"/>
    <mergeCell ref="C4:E4"/>
    <mergeCell ref="C5:E5"/>
    <mergeCell ref="F4:H4"/>
    <mergeCell ref="F5:H5"/>
    <mergeCell ref="I4:K4"/>
    <mergeCell ref="I5:K5"/>
    <mergeCell ref="X3:Z3"/>
    <mergeCell ref="T3:V3"/>
    <mergeCell ref="P3:R3"/>
    <mergeCell ref="C2:I2"/>
    <mergeCell ref="L4:N4"/>
  </mergeCell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50D06-2EDA-4AB3-A11E-BDB419C822AC}">
  <dimension ref="A1:M18"/>
  <sheetViews>
    <sheetView workbookViewId="0">
      <selection activeCell="B2" sqref="B2:E2"/>
    </sheetView>
  </sheetViews>
  <sheetFormatPr defaultRowHeight="15"/>
  <cols>
    <col min="6" max="6" width="10.5703125" bestFit="1" customWidth="1"/>
  </cols>
  <sheetData>
    <row r="1" spans="1:13">
      <c r="B1" s="534" t="s">
        <v>4</v>
      </c>
      <c r="C1" s="534"/>
      <c r="D1" s="534"/>
      <c r="E1" s="534"/>
      <c r="F1" s="534" t="s">
        <v>1367</v>
      </c>
      <c r="G1" s="534"/>
      <c r="H1" s="534"/>
      <c r="I1" s="534"/>
      <c r="J1" s="534" t="s">
        <v>1368</v>
      </c>
      <c r="K1" s="534"/>
      <c r="L1" s="534"/>
      <c r="M1" s="534"/>
    </row>
    <row r="2" spans="1:13">
      <c r="B2" s="534" t="s">
        <v>5</v>
      </c>
      <c r="C2" s="534"/>
      <c r="D2" s="534"/>
      <c r="E2" s="534"/>
      <c r="F2" s="534" t="s">
        <v>1375</v>
      </c>
      <c r="G2" s="534"/>
      <c r="H2" s="534"/>
      <c r="I2" s="534"/>
      <c r="J2" s="534" t="s">
        <v>1376</v>
      </c>
      <c r="K2" s="534"/>
      <c r="L2" s="534"/>
      <c r="M2" s="534"/>
    </row>
    <row r="3" spans="1:13">
      <c r="B3" t="s">
        <v>1377</v>
      </c>
      <c r="C3" t="s">
        <v>1138</v>
      </c>
      <c r="D3" t="s">
        <v>1139</v>
      </c>
      <c r="E3" t="s">
        <v>1140</v>
      </c>
      <c r="F3" t="s">
        <v>1377</v>
      </c>
      <c r="G3" t="s">
        <v>1138</v>
      </c>
      <c r="H3" t="s">
        <v>1139</v>
      </c>
      <c r="I3" t="s">
        <v>1140</v>
      </c>
      <c r="J3" t="s">
        <v>1377</v>
      </c>
      <c r="K3" t="s">
        <v>1138</v>
      </c>
      <c r="L3" t="s">
        <v>1139</v>
      </c>
      <c r="M3" t="s">
        <v>1140</v>
      </c>
    </row>
    <row r="4" spans="1:13">
      <c r="A4">
        <v>2442</v>
      </c>
      <c r="B4" s="37">
        <f>COUNTIFS(Errorlog_table[Year_Week_Number],$A4,Errorlog_table[System],B$1,Errorlog_table[P_Hits],"Y")</f>
        <v>0</v>
      </c>
      <c r="C4" s="105" cm="1">
        <f t="array" ref="C4">_xlfn.XLOOKUP($A4,MTBF_Intel[Week],MTBF_Intel[MTBFp 1wma],"",0)</f>
        <v>0</v>
      </c>
      <c r="D4" s="105" cm="1">
        <f t="array" ref="D4">_xlfn.XLOOKUP($A4,MTBF_Intel[Week],MTBF_Intel[MTBFp 4wma],"",0)</f>
        <v>0</v>
      </c>
      <c r="E4" s="105" cm="1">
        <f t="array" ref="E4">_xlfn.XLOOKUP($A4,MTBF_Intel[Week],MTBF_Intel[MTBFp 13wma],"",0)</f>
        <v>0</v>
      </c>
      <c r="F4" s="37">
        <f>COUNTIFS(Errorlog_table[Year_Week_Number],$A4,Errorlog_table[System],F$1,Errorlog_table[P_Hits],"Y")</f>
        <v>0</v>
      </c>
      <c r="G4" s="105" t="e" cm="1">
        <f t="array" ref="G4">_xlfn.XLOOKUP($A4,#REF!,#REF!,"",0)</f>
        <v>#REF!</v>
      </c>
      <c r="H4" s="105" t="e" cm="1">
        <f t="array" ref="H4">_xlfn.XLOOKUP($A4,#REF!,#REF!,"",0)</f>
        <v>#REF!</v>
      </c>
      <c r="I4" s="105"/>
      <c r="J4" s="37">
        <f>COUNTIFS(Errorlog_table[Year_Week_Number],$A4,Errorlog_table[System],J$1,Errorlog_table[P_Hits],"Y")</f>
        <v>0</v>
      </c>
      <c r="K4" s="105" t="e" cm="1">
        <f t="array" ref="K4">_xlfn.XLOOKUP($A4,#REF!,#REF!,"",0)</f>
        <v>#REF!</v>
      </c>
      <c r="L4" s="105" t="e" cm="1">
        <f t="array" ref="L4">_xlfn.XLOOKUP($A4,#REF!,#REF!,"",0)</f>
        <v>#REF!</v>
      </c>
      <c r="M4" s="105"/>
    </row>
    <row r="5" spans="1:13">
      <c r="A5">
        <v>2443</v>
      </c>
      <c r="B5" s="37">
        <f>COUNTIFS(Errorlog_table[Year_Week_Number],$A5,Errorlog_table[System],B$1,Errorlog_table[P_Hits],"Y")</f>
        <v>0</v>
      </c>
      <c r="C5" s="105" cm="1">
        <f t="array" ref="C5">_xlfn.XLOOKUP($A5,MTBF_Intel[Week],MTBF_Intel[MTBFp 1wma],"",0)</f>
        <v>0</v>
      </c>
      <c r="D5" s="105" cm="1">
        <f t="array" ref="D5">_xlfn.XLOOKUP($A5,MTBF_Intel[Week],MTBF_Intel[MTBFp 4wma],"",0)</f>
        <v>0</v>
      </c>
      <c r="E5" s="105" cm="1">
        <f t="array" ref="E5">_xlfn.XLOOKUP($A5,MTBF_Intel[Week],MTBF_Intel[MTBFp 13wma],"",0)</f>
        <v>0</v>
      </c>
      <c r="F5" s="37">
        <f>COUNTIFS(Errorlog_table[Year_Week_Number],$A5,Errorlog_table[System],F$1,Errorlog_table[P_Hits],"Y")</f>
        <v>0</v>
      </c>
      <c r="G5" s="105" t="e" cm="1">
        <f t="array" ref="G5">_xlfn.XLOOKUP($A5,#REF!,#REF!,"",0)</f>
        <v>#REF!</v>
      </c>
      <c r="H5" s="105" t="e" cm="1">
        <f t="array" ref="H5">_xlfn.XLOOKUP($A5,#REF!,#REF!,"",0)</f>
        <v>#REF!</v>
      </c>
      <c r="I5" s="105"/>
      <c r="J5" s="37">
        <f>COUNTIFS(Errorlog_table[Year_Week_Number],$A5,Errorlog_table[System],J$1,Errorlog_table[P_Hits],"Y")</f>
        <v>0</v>
      </c>
      <c r="K5" s="105" t="e" cm="1">
        <f t="array" ref="K5">_xlfn.XLOOKUP($A5,#REF!,#REF!,"",0)</f>
        <v>#REF!</v>
      </c>
      <c r="L5" s="105" t="e" cm="1">
        <f t="array" ref="L5">_xlfn.XLOOKUP($A5,#REF!,#REF!,"",0)</f>
        <v>#REF!</v>
      </c>
      <c r="M5" s="105"/>
    </row>
    <row r="6" spans="1:13">
      <c r="A6">
        <v>2444</v>
      </c>
      <c r="B6" s="37">
        <f>COUNTIFS(Errorlog_table[Year_Week_Number],$A6,Errorlog_table[System],B$1,Errorlog_table[P_Hits],"Y")</f>
        <v>0</v>
      </c>
      <c r="C6" s="105" cm="1">
        <f t="array" ref="C6">_xlfn.XLOOKUP($A6,MTBF_Intel[Week],MTBF_Intel[MTBFp 1wma],"",0)</f>
        <v>0</v>
      </c>
      <c r="D6" s="105" cm="1">
        <f t="array" ref="D6">_xlfn.XLOOKUP($A6,MTBF_Intel[Week],MTBF_Intel[MTBFp 4wma],"",0)</f>
        <v>0</v>
      </c>
      <c r="E6" s="105" cm="1">
        <f t="array" ref="E6">_xlfn.XLOOKUP($A6,MTBF_Intel[Week],MTBF_Intel[MTBFp 13wma],"",0)</f>
        <v>0</v>
      </c>
      <c r="F6" s="37">
        <f>COUNTIFS(Errorlog_table[Year_Week_Number],$A6,Errorlog_table[System],F$1,Errorlog_table[P_Hits],"Y")</f>
        <v>0</v>
      </c>
      <c r="G6" s="105" t="e" cm="1">
        <f t="array" ref="G6">_xlfn.XLOOKUP($A6,#REF!,#REF!,"",0)</f>
        <v>#REF!</v>
      </c>
      <c r="H6" s="105" t="e" cm="1">
        <f t="array" ref="H6">_xlfn.XLOOKUP($A6,#REF!,#REF!,"",0)</f>
        <v>#REF!</v>
      </c>
      <c r="I6" s="105"/>
      <c r="J6" s="37">
        <f>COUNTIFS(Errorlog_table[Year_Week_Number],$A6,Errorlog_table[System],J$1,Errorlog_table[P_Hits],"Y")</f>
        <v>0</v>
      </c>
      <c r="K6" s="105" t="e" cm="1">
        <f t="array" ref="K6">_xlfn.XLOOKUP($A6,#REF!,#REF!,"",0)</f>
        <v>#REF!</v>
      </c>
      <c r="L6" s="105" t="e" cm="1">
        <f t="array" ref="L6">_xlfn.XLOOKUP($A6,#REF!,#REF!,"",0)</f>
        <v>#REF!</v>
      </c>
      <c r="M6" s="105"/>
    </row>
    <row r="7" spans="1:13">
      <c r="A7">
        <v>2445</v>
      </c>
      <c r="B7" s="37">
        <f>COUNTIFS(Errorlog_table[Year_Week_Number],$A7,Errorlog_table[System],B$1,Errorlog_table[P_Hits],"Y")</f>
        <v>0</v>
      </c>
      <c r="C7" s="105" cm="1">
        <f t="array" ref="C7">_xlfn.XLOOKUP($A7,MTBF_Intel[Week],MTBF_Intel[MTBFp 1wma],"",0)</f>
        <v>0</v>
      </c>
      <c r="D7" s="105" cm="1">
        <f t="array" ref="D7">_xlfn.XLOOKUP($A7,MTBF_Intel[Week],MTBF_Intel[MTBFp 4wma],"",0)</f>
        <v>0</v>
      </c>
      <c r="E7" s="105" cm="1">
        <f t="array" ref="E7">_xlfn.XLOOKUP($A7,MTBF_Intel[Week],MTBF_Intel[MTBFp 13wma],"",0)</f>
        <v>0</v>
      </c>
      <c r="F7" s="37">
        <f>COUNTIFS(Errorlog_table[Year_Week_Number],$A7,Errorlog_table[System],F$1,Errorlog_table[P_Hits],"Y")</f>
        <v>0</v>
      </c>
      <c r="G7" s="105" t="e" cm="1">
        <f t="array" ref="G7">_xlfn.XLOOKUP($A7,#REF!,#REF!,"",0)</f>
        <v>#REF!</v>
      </c>
      <c r="H7" s="105" t="e" cm="1">
        <f t="array" ref="H7">_xlfn.XLOOKUP($A7,#REF!,#REF!,"",0)</f>
        <v>#REF!</v>
      </c>
      <c r="I7" s="105"/>
      <c r="J7" s="37">
        <f>COUNTIFS(Errorlog_table[Year_Week_Number],$A7,Errorlog_table[System],J$1,Errorlog_table[P_Hits],"Y")</f>
        <v>0</v>
      </c>
      <c r="K7" s="105" t="e" cm="1">
        <f t="array" ref="K7">_xlfn.XLOOKUP($A7,#REF!,#REF!,"",0)</f>
        <v>#REF!</v>
      </c>
      <c r="L7" s="105" t="e" cm="1">
        <f t="array" ref="L7">_xlfn.XLOOKUP($A7,#REF!,#REF!,"",0)</f>
        <v>#REF!</v>
      </c>
      <c r="M7" s="105"/>
    </row>
    <row r="8" spans="1:13">
      <c r="A8">
        <v>2446</v>
      </c>
      <c r="B8" s="37">
        <f>COUNTIFS(Errorlog_table[Year_Week_Number],$A8,Errorlog_table[System],B$1,Errorlog_table[P_Hits],"Y")</f>
        <v>0</v>
      </c>
      <c r="C8" s="105" cm="1">
        <f t="array" ref="C8">_xlfn.XLOOKUP($A8,MTBF_Intel[Week],MTBF_Intel[MTBFp 1wma],"",0)</f>
        <v>0</v>
      </c>
      <c r="D8" s="105" cm="1">
        <f t="array" ref="D8">_xlfn.XLOOKUP($A8,MTBF_Intel[Week],MTBF_Intel[MTBFp 4wma],"",0)</f>
        <v>0</v>
      </c>
      <c r="E8" s="105" cm="1">
        <f t="array" ref="E8">_xlfn.XLOOKUP($A8,MTBF_Intel[Week],MTBF_Intel[MTBFp 13wma],"",0)</f>
        <v>0</v>
      </c>
      <c r="F8" s="37">
        <f>COUNTIFS(Errorlog_table[Year_Week_Number],$A8,Errorlog_table[System],F$1,Errorlog_table[P_Hits],"Y")</f>
        <v>0</v>
      </c>
      <c r="G8" s="105" t="e" cm="1">
        <f t="array" ref="G8">_xlfn.XLOOKUP($A8,#REF!,#REF!,"",0)</f>
        <v>#REF!</v>
      </c>
      <c r="H8" s="105" t="e" cm="1">
        <f t="array" ref="H8">_xlfn.XLOOKUP($A8,#REF!,#REF!,"",0)</f>
        <v>#REF!</v>
      </c>
      <c r="I8" s="105"/>
      <c r="J8" s="37">
        <f>COUNTIFS(Errorlog_table[Year_Week_Number],$A8,Errorlog_table[System],J$1,Errorlog_table[P_Hits],"Y")</f>
        <v>0</v>
      </c>
      <c r="K8" s="105" t="e" cm="1">
        <f t="array" ref="K8">_xlfn.XLOOKUP($A8,#REF!,#REF!,"",0)</f>
        <v>#REF!</v>
      </c>
      <c r="L8" s="105" t="e" cm="1">
        <f t="array" ref="L8">_xlfn.XLOOKUP($A8,#REF!,#REF!,"",0)</f>
        <v>#REF!</v>
      </c>
      <c r="M8" s="105"/>
    </row>
    <row r="9" spans="1:13">
      <c r="A9">
        <v>2447</v>
      </c>
      <c r="B9" s="37">
        <f>COUNTIFS(Errorlog_table[Year_Week_Number],$A9,Errorlog_table[System],B$1,Errorlog_table[P_Hits],"Y")</f>
        <v>0</v>
      </c>
      <c r="C9" s="105" cm="1">
        <f t="array" ref="C9">_xlfn.XLOOKUP($A9,MTBF_Intel[Week],MTBF_Intel[MTBFp 1wma],"",0)</f>
        <v>0</v>
      </c>
      <c r="D9" s="105" cm="1">
        <f t="array" ref="D9">_xlfn.XLOOKUP($A9,MTBF_Intel[Week],MTBF_Intel[MTBFp 4wma],"",0)</f>
        <v>0</v>
      </c>
      <c r="E9" s="105" cm="1">
        <f t="array" ref="E9">_xlfn.XLOOKUP($A9,MTBF_Intel[Week],MTBF_Intel[MTBFp 13wma],"",0)</f>
        <v>0</v>
      </c>
      <c r="F9" s="37">
        <f>COUNTIFS(Errorlog_table[Year_Week_Number],$A9,Errorlog_table[System],F$1,Errorlog_table[P_Hits],"Y")</f>
        <v>0</v>
      </c>
      <c r="G9" s="105" t="e" cm="1">
        <f t="array" ref="G9">_xlfn.XLOOKUP($A9,#REF!,#REF!,"",0)</f>
        <v>#REF!</v>
      </c>
      <c r="H9" s="105" t="e" cm="1">
        <f t="array" ref="H9">_xlfn.XLOOKUP($A9,#REF!,#REF!,"",0)</f>
        <v>#REF!</v>
      </c>
      <c r="I9" s="105"/>
      <c r="J9" s="37">
        <f>COUNTIFS(Errorlog_table[Year_Week_Number],$A9,Errorlog_table[System],J$1,Errorlog_table[P_Hits],"Y")</f>
        <v>0</v>
      </c>
      <c r="K9" s="105" t="e" cm="1">
        <f t="array" ref="K9">_xlfn.XLOOKUP($A9,#REF!,#REF!,"",0)</f>
        <v>#REF!</v>
      </c>
      <c r="L9" s="105" t="e" cm="1">
        <f t="array" ref="L9">_xlfn.XLOOKUP($A9,#REF!,#REF!,"",0)</f>
        <v>#REF!</v>
      </c>
      <c r="M9" s="105"/>
    </row>
    <row r="10" spans="1:13">
      <c r="A10">
        <v>2448</v>
      </c>
      <c r="B10" s="37">
        <f>COUNTIFS(Errorlog_table[Year_Week_Number],$A10,Errorlog_table[System],B$1,Errorlog_table[P_Hits],"Y")</f>
        <v>0</v>
      </c>
      <c r="C10" s="105" cm="1">
        <f t="array" ref="C10">_xlfn.XLOOKUP($A10,MTBF_Intel[Week],MTBF_Intel[MTBFp 1wma],"",0)</f>
        <v>0</v>
      </c>
      <c r="D10" s="105" cm="1">
        <f t="array" ref="D10">_xlfn.XLOOKUP($A10,MTBF_Intel[Week],MTBF_Intel[MTBFp 4wma],"",0)</f>
        <v>0</v>
      </c>
      <c r="E10" s="105" cm="1">
        <f t="array" ref="E10">_xlfn.XLOOKUP($A10,MTBF_Intel[Week],MTBF_Intel[MTBFp 13wma],"",0)</f>
        <v>0</v>
      </c>
      <c r="F10" s="37">
        <f>COUNTIFS(Errorlog_table[Year_Week_Number],$A10,Errorlog_table[System],F$1,Errorlog_table[P_Hits],"Y")</f>
        <v>0</v>
      </c>
      <c r="G10" s="105" t="e" cm="1">
        <f t="array" ref="G10">_xlfn.XLOOKUP($A10,#REF!,#REF!,"",0)</f>
        <v>#REF!</v>
      </c>
      <c r="H10" s="105" t="e" cm="1">
        <f t="array" ref="H10">_xlfn.XLOOKUP($A10,#REF!,#REF!,"",0)</f>
        <v>#REF!</v>
      </c>
      <c r="I10" s="105"/>
      <c r="J10" s="37">
        <f>COUNTIFS(Errorlog_table[Year_Week_Number],$A10,Errorlog_table[System],J$1,Errorlog_table[P_Hits],"Y")</f>
        <v>0</v>
      </c>
      <c r="K10" s="105" t="e" cm="1">
        <f t="array" ref="K10">_xlfn.XLOOKUP($A10,#REF!,#REF!,"",0)</f>
        <v>#REF!</v>
      </c>
      <c r="L10" s="105" t="e" cm="1">
        <f t="array" ref="L10">_xlfn.XLOOKUP($A10,#REF!,#REF!,"",0)</f>
        <v>#REF!</v>
      </c>
      <c r="M10" s="105" t="e" cm="1">
        <f t="array" ref="M10">_xlfn.XLOOKUP($A10,#REF!,#REF!,"",0)</f>
        <v>#REF!</v>
      </c>
    </row>
    <row r="11" spans="1:13">
      <c r="A11">
        <v>2449</v>
      </c>
      <c r="B11" s="37">
        <f>COUNTIFS(Errorlog_table[Year_Week_Number],$A11,Errorlog_table[System],B$1,Errorlog_table[P_Hits],"Y")</f>
        <v>0</v>
      </c>
      <c r="C11" s="105" cm="1">
        <f t="array" ref="C11">_xlfn.XLOOKUP($A11,MTBF_Intel[Week],MTBF_Intel[MTBFp 1wma],"",0)</f>
        <v>0</v>
      </c>
      <c r="D11" s="105" cm="1">
        <f t="array" ref="D11">_xlfn.XLOOKUP($A11,MTBF_Intel[Week],MTBF_Intel[MTBFp 4wma],"",0)</f>
        <v>0</v>
      </c>
      <c r="E11" s="105" cm="1">
        <f t="array" ref="E11">_xlfn.XLOOKUP($A11,MTBF_Intel[Week],MTBF_Intel[MTBFp 13wma],"",0)</f>
        <v>0</v>
      </c>
      <c r="F11" s="37">
        <f>COUNTIFS(Errorlog_table[Year_Week_Number],$A11,Errorlog_table[System],F$1,Errorlog_table[P_Hits],"Y")</f>
        <v>0</v>
      </c>
      <c r="G11" s="105" t="e" cm="1">
        <f t="array" ref="G11">_xlfn.XLOOKUP($A11,#REF!,#REF!,"",0)</f>
        <v>#REF!</v>
      </c>
      <c r="H11" s="105" t="e" cm="1">
        <f t="array" ref="H11">_xlfn.XLOOKUP($A11,#REF!,#REF!,"",0)</f>
        <v>#REF!</v>
      </c>
      <c r="I11" s="105" t="e" cm="1">
        <f t="array" ref="I11">_xlfn.XLOOKUP($A11,#REF!,#REF!,"",0)</f>
        <v>#REF!</v>
      </c>
      <c r="J11" s="37">
        <f>COUNTIFS(Errorlog_table[Year_Week_Number],$A11,Errorlog_table[System],J$1,Errorlog_table[P_Hits],"Y")</f>
        <v>0</v>
      </c>
      <c r="K11" s="105" t="e" cm="1">
        <f t="array" ref="K11">_xlfn.XLOOKUP($A11,#REF!,#REF!,"",0)</f>
        <v>#REF!</v>
      </c>
      <c r="L11" s="105" t="e" cm="1">
        <f t="array" ref="L11">_xlfn.XLOOKUP($A11,#REF!,#REF!,"",0)</f>
        <v>#REF!</v>
      </c>
      <c r="M11" s="105" t="e" cm="1">
        <f t="array" ref="M11">_xlfn.XLOOKUP($A11,#REF!,#REF!,"",0)</f>
        <v>#REF!</v>
      </c>
    </row>
    <row r="12" spans="1:13">
      <c r="A12">
        <v>2450</v>
      </c>
      <c r="B12" s="37">
        <f>COUNTIFS(Errorlog_table[Year_Week_Number],$A12,Errorlog_table[System],B$1,Errorlog_table[P_Hits],"Y")</f>
        <v>0</v>
      </c>
      <c r="C12" s="105" cm="1">
        <f t="array" ref="C12">_xlfn.XLOOKUP($A12,MTBF_Intel[Week],MTBF_Intel[MTBFp 1wma],"",0)</f>
        <v>0</v>
      </c>
      <c r="D12" s="105" cm="1">
        <f t="array" ref="D12">_xlfn.XLOOKUP($A12,MTBF_Intel[Week],MTBF_Intel[MTBFp 4wma],"",0)</f>
        <v>0</v>
      </c>
      <c r="E12" s="105" cm="1">
        <f t="array" ref="E12">_xlfn.XLOOKUP($A12,MTBF_Intel[Week],MTBF_Intel[MTBFp 13wma],"",0)</f>
        <v>0</v>
      </c>
      <c r="F12" s="37">
        <f>COUNTIFS(Errorlog_table[Year_Week_Number],$A12,Errorlog_table[System],F$1,Errorlog_table[P_Hits],"Y")</f>
        <v>0</v>
      </c>
      <c r="G12" s="105" t="e" cm="1">
        <f t="array" ref="G12">_xlfn.XLOOKUP($A12,#REF!,#REF!,"",0)</f>
        <v>#REF!</v>
      </c>
      <c r="H12" s="105" t="e" cm="1">
        <f t="array" ref="H12">_xlfn.XLOOKUP($A12,#REF!,#REF!,"",0)</f>
        <v>#REF!</v>
      </c>
      <c r="I12" s="105" t="e" cm="1">
        <f t="array" ref="I12">_xlfn.XLOOKUP($A12,#REF!,#REF!,"",0)</f>
        <v>#REF!</v>
      </c>
      <c r="J12" s="37">
        <f>COUNTIFS(Errorlog_table[Year_Week_Number],$A12,Errorlog_table[System],J$1,Errorlog_table[P_Hits],"Y")</f>
        <v>0</v>
      </c>
      <c r="K12" s="105" t="e" cm="1">
        <f t="array" ref="K12">_xlfn.XLOOKUP($A12,#REF!,#REF!,"",0)</f>
        <v>#REF!</v>
      </c>
      <c r="L12" s="105" t="e" cm="1">
        <f t="array" ref="L12">_xlfn.XLOOKUP($A12,#REF!,#REF!,"",0)</f>
        <v>#REF!</v>
      </c>
      <c r="M12" s="105" t="e" cm="1">
        <f t="array" ref="M12">_xlfn.XLOOKUP($A12,#REF!,#REF!,"",0)</f>
        <v>#REF!</v>
      </c>
    </row>
    <row r="13" spans="1:13">
      <c r="A13">
        <v>2451</v>
      </c>
      <c r="B13" s="37">
        <f>COUNTIFS(Errorlog_table[Year_Week_Number],$A13,Errorlog_table[System],B$1,Errorlog_table[P_Hits],"Y")</f>
        <v>0</v>
      </c>
      <c r="C13" s="105" cm="1">
        <f t="array" ref="C13">_xlfn.XLOOKUP($A13,MTBF_Intel[Week],MTBF_Intel[MTBFp 1wma],"",0)</f>
        <v>0</v>
      </c>
      <c r="D13" s="105" cm="1">
        <f t="array" ref="D13">_xlfn.XLOOKUP($A13,MTBF_Intel[Week],MTBF_Intel[MTBFp 4wma],"",0)</f>
        <v>0</v>
      </c>
      <c r="E13" s="105" cm="1">
        <f t="array" ref="E13">_xlfn.XLOOKUP($A13,MTBF_Intel[Week],MTBF_Intel[MTBFp 13wma],"",0)</f>
        <v>0</v>
      </c>
      <c r="F13" s="37">
        <f>COUNTIFS(Errorlog_table[Year_Week_Number],$A13,Errorlog_table[System],F$1,Errorlog_table[P_Hits],"Y")</f>
        <v>0</v>
      </c>
      <c r="G13" s="105" t="e" cm="1">
        <f t="array" ref="G13">_xlfn.XLOOKUP($A13,#REF!,#REF!,"",0)</f>
        <v>#REF!</v>
      </c>
      <c r="H13" s="105" t="e" cm="1">
        <f t="array" ref="H13">_xlfn.XLOOKUP($A13,#REF!,#REF!,"",0)</f>
        <v>#REF!</v>
      </c>
      <c r="I13" s="105" t="e" cm="1">
        <f t="array" ref="I13">_xlfn.XLOOKUP($A13,#REF!,#REF!,"",0)</f>
        <v>#REF!</v>
      </c>
      <c r="J13" s="37">
        <f>COUNTIFS(Errorlog_table[Year_Week_Number],$A13,Errorlog_table[System],J$1,Errorlog_table[P_Hits],"Y")</f>
        <v>0</v>
      </c>
      <c r="K13" s="105" t="e" cm="1">
        <f t="array" ref="K13">_xlfn.XLOOKUP($A13,#REF!,#REF!,"",0)</f>
        <v>#REF!</v>
      </c>
      <c r="L13" s="105" t="e" cm="1">
        <f t="array" ref="L13">_xlfn.XLOOKUP($A13,#REF!,#REF!,"",0)</f>
        <v>#REF!</v>
      </c>
      <c r="M13" s="105" t="e" cm="1">
        <f t="array" ref="M13">_xlfn.XLOOKUP($A13,#REF!,#REF!,"",0)</f>
        <v>#REF!</v>
      </c>
    </row>
    <row r="14" spans="1:13">
      <c r="A14">
        <v>2452</v>
      </c>
      <c r="B14" s="37">
        <f>COUNTIFS(Errorlog_table[Year_Week_Number],$A14,Errorlog_table[System],B$1,Errorlog_table[P_Hits],"Y")</f>
        <v>0</v>
      </c>
      <c r="C14" s="105" cm="1">
        <f t="array" ref="C14">_xlfn.XLOOKUP($A14,MTBF_Intel[Week],MTBF_Intel[MTBFp 1wma],"",0)</f>
        <v>0</v>
      </c>
      <c r="D14" s="105" cm="1">
        <f t="array" ref="D14">_xlfn.XLOOKUP($A14,MTBF_Intel[Week],MTBF_Intel[MTBFp 4wma],"",0)</f>
        <v>0</v>
      </c>
      <c r="E14" s="105" cm="1">
        <f t="array" ref="E14">_xlfn.XLOOKUP($A14,MTBF_Intel[Week],MTBF_Intel[MTBFp 13wma],"",0)</f>
        <v>0</v>
      </c>
      <c r="F14" s="37">
        <f>COUNTIFS(Errorlog_table[Year_Week_Number],$A14,Errorlog_table[System],F$1,Errorlog_table[P_Hits],"Y")</f>
        <v>0</v>
      </c>
      <c r="G14" s="105" t="e" cm="1">
        <f t="array" ref="G14">_xlfn.XLOOKUP($A14,#REF!,#REF!,"",0)</f>
        <v>#REF!</v>
      </c>
      <c r="H14" s="105" t="e" cm="1">
        <f t="array" ref="H14">_xlfn.XLOOKUP($A14,#REF!,#REF!,"",0)</f>
        <v>#REF!</v>
      </c>
      <c r="I14" s="105" t="e" cm="1">
        <f t="array" ref="I14">_xlfn.XLOOKUP($A14,#REF!,#REF!,"",0)</f>
        <v>#REF!</v>
      </c>
      <c r="J14" s="37">
        <f>COUNTIFS(Errorlog_table[Year_Week_Number],$A14,Errorlog_table[System],J$1,Errorlog_table[P_Hits],"Y")</f>
        <v>0</v>
      </c>
      <c r="K14" s="105" t="e" cm="1">
        <f t="array" ref="K14">_xlfn.XLOOKUP($A14,#REF!,#REF!,"",0)</f>
        <v>#REF!</v>
      </c>
      <c r="L14" s="105" t="e" cm="1">
        <f t="array" ref="L14">_xlfn.XLOOKUP($A14,#REF!,#REF!,"",0)</f>
        <v>#REF!</v>
      </c>
      <c r="M14" s="105" t="e" cm="1">
        <f t="array" ref="M14">_xlfn.XLOOKUP($A14,#REF!,#REF!,"",0)</f>
        <v>#REF!</v>
      </c>
    </row>
    <row r="15" spans="1:13">
      <c r="A15">
        <v>2501</v>
      </c>
      <c r="B15" s="37">
        <f>COUNTIFS(Errorlog_table[Year_Week_Number],$A15,Errorlog_table[System],B$1,Errorlog_table[P_Hits],"Y")</f>
        <v>0</v>
      </c>
      <c r="C15" s="105" cm="1">
        <f t="array" ref="C15">_xlfn.XLOOKUP($A15,MTBF_Intel[Week],MTBF_Intel[MTBFp 1wma],"",0)</f>
        <v>0</v>
      </c>
      <c r="D15" s="105" cm="1">
        <f t="array" ref="D15">_xlfn.XLOOKUP($A15,MTBF_Intel[Week],MTBF_Intel[MTBFp 4wma],"",0)</f>
        <v>0</v>
      </c>
      <c r="E15" s="105" cm="1">
        <f t="array" ref="E15">_xlfn.XLOOKUP($A15,MTBF_Intel[Week],MTBF_Intel[MTBFp 13wma],"",0)</f>
        <v>0</v>
      </c>
      <c r="F15" s="37">
        <f>COUNTIFS(Errorlog_table[Year_Week_Number],$A15,Errorlog_table[System],F$1,Errorlog_table[P_Hits],"Y")</f>
        <v>0</v>
      </c>
      <c r="G15" s="105" t="e" cm="1">
        <f t="array" ref="G15">_xlfn.XLOOKUP($A15,#REF!,#REF!,"",0)</f>
        <v>#REF!</v>
      </c>
      <c r="H15" s="105" t="e" cm="1">
        <f t="array" ref="H15">_xlfn.XLOOKUP($A15,#REF!,#REF!,"",0)</f>
        <v>#REF!</v>
      </c>
      <c r="I15" s="105" t="e" cm="1">
        <f t="array" ref="I15">_xlfn.XLOOKUP($A15,#REF!,#REF!,"",0)</f>
        <v>#REF!</v>
      </c>
      <c r="J15" s="37">
        <f>COUNTIFS(Errorlog_table[Year_Week_Number],$A15,Errorlog_table[System],J$1,Errorlog_table[P_Hits],"Y")</f>
        <v>0</v>
      </c>
      <c r="K15" s="105" t="e" cm="1">
        <f t="array" ref="K15">_xlfn.XLOOKUP($A15,#REF!,#REF!,"",0)</f>
        <v>#REF!</v>
      </c>
      <c r="L15" s="105" t="e" cm="1">
        <f t="array" ref="L15">_xlfn.XLOOKUP($A15,#REF!,#REF!,"",0)</f>
        <v>#REF!</v>
      </c>
      <c r="M15" s="105" t="e" cm="1">
        <f t="array" ref="M15">_xlfn.XLOOKUP($A15,#REF!,#REF!,"",0)</f>
        <v>#REF!</v>
      </c>
    </row>
    <row r="16" spans="1:13">
      <c r="A16">
        <v>2502</v>
      </c>
      <c r="B16" s="37">
        <f>COUNTIFS(Errorlog_table[Year_Week_Number],$A16,Errorlog_table[System],B$1,Errorlog_table[P_Hits],"Y")</f>
        <v>0</v>
      </c>
      <c r="C16" s="105" cm="1">
        <f t="array" ref="C16">_xlfn.XLOOKUP($A16,MTBF_Intel[Week],MTBF_Intel[MTBFp 1wma],"",0)</f>
        <v>0</v>
      </c>
      <c r="D16" s="105" cm="1">
        <f t="array" ref="D16">_xlfn.XLOOKUP($A16,MTBF_Intel[Week],MTBF_Intel[MTBFp 4wma],"",0)</f>
        <v>0</v>
      </c>
      <c r="E16" s="105" cm="1">
        <f t="array" ref="E16">_xlfn.XLOOKUP($A16,MTBF_Intel[Week],MTBF_Intel[MTBFp 13wma],"",0)</f>
        <v>0</v>
      </c>
      <c r="F16" s="37">
        <f>COUNTIFS(Errorlog_table[Year_Week_Number],$A16,Errorlog_table[System],F$1,Errorlog_table[P_Hits],"Y")</f>
        <v>0</v>
      </c>
      <c r="G16" s="105" t="e" cm="1">
        <f t="array" ref="G16">_xlfn.XLOOKUP($A16,#REF!,#REF!,"",0)</f>
        <v>#REF!</v>
      </c>
      <c r="H16" s="105" t="e" cm="1">
        <f t="array" ref="H16">_xlfn.XLOOKUP($A16,#REF!,#REF!,"",0)</f>
        <v>#REF!</v>
      </c>
      <c r="I16" s="105" t="e" cm="1">
        <f t="array" ref="I16">_xlfn.XLOOKUP($A16,#REF!,#REF!,"",0)</f>
        <v>#REF!</v>
      </c>
      <c r="J16" s="37">
        <f>COUNTIFS(Errorlog_table[Year_Week_Number],$A16,Errorlog_table[System],J$1,Errorlog_table[P_Hits],"Y")</f>
        <v>0</v>
      </c>
      <c r="K16" s="105" t="e" cm="1">
        <f t="array" ref="K16">_xlfn.XLOOKUP($A16,#REF!,#REF!,"",0)</f>
        <v>#REF!</v>
      </c>
      <c r="L16" s="105" t="e" cm="1">
        <f t="array" ref="L16">_xlfn.XLOOKUP($A16,#REF!,#REF!,"",0)</f>
        <v>#REF!</v>
      </c>
      <c r="M16" s="105" t="e" cm="1">
        <f t="array" ref="M16">_xlfn.XLOOKUP($A16,#REF!,#REF!,"",0)</f>
        <v>#REF!</v>
      </c>
    </row>
    <row r="18" spans="2:10">
      <c r="B18" s="105">
        <f>AVERAGE(B4:B16)</f>
        <v>0</v>
      </c>
      <c r="F18" s="105">
        <f>AVERAGE(F4:F16)</f>
        <v>0</v>
      </c>
      <c r="J18" s="105">
        <f>AVERAGE(J4:J16)</f>
        <v>0</v>
      </c>
    </row>
  </sheetData>
  <mergeCells count="6">
    <mergeCell ref="B1:E1"/>
    <mergeCell ref="F1:I1"/>
    <mergeCell ref="J1:M1"/>
    <mergeCell ref="B2:E2"/>
    <mergeCell ref="F2:I2"/>
    <mergeCell ref="J2:M2"/>
  </mergeCell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149C1-4417-4E05-9EB6-BB5E9D8FC8AD}">
  <sheetPr codeName="Sheet19"/>
  <dimension ref="A1:O51"/>
  <sheetViews>
    <sheetView zoomScale="85" zoomScaleNormal="85" workbookViewId="0"/>
  </sheetViews>
  <sheetFormatPr defaultRowHeight="15"/>
  <cols>
    <col min="1" max="1" width="2.42578125" customWidth="1"/>
    <col min="2" max="2" width="12.5703125" bestFit="1" customWidth="1"/>
    <col min="3" max="3" width="11.42578125" customWidth="1"/>
    <col min="4" max="4" width="8" customWidth="1"/>
    <col min="5" max="5" width="11.42578125" bestFit="1" customWidth="1"/>
    <col min="6" max="6" width="9.42578125" bestFit="1" customWidth="1"/>
    <col min="7" max="7" width="14.85546875" bestFit="1" customWidth="1"/>
    <col min="11" max="11" width="17.5703125" bestFit="1" customWidth="1"/>
  </cols>
  <sheetData>
    <row r="1" spans="1:15">
      <c r="B1" t="s">
        <v>20</v>
      </c>
      <c r="C1">
        <f>'MTBF(u+p) total report EZ60'!Q2</f>
        <v>2445</v>
      </c>
      <c r="D1">
        <f>C1-3</f>
        <v>2442</v>
      </c>
      <c r="G1" t="s">
        <v>1378</v>
      </c>
      <c r="H1">
        <v>0.7</v>
      </c>
    </row>
    <row r="2" spans="1:15">
      <c r="B2" t="s">
        <v>1379</v>
      </c>
      <c r="C2" s="34">
        <f>SUMIFS('MTBF graph_CR51'!D:D,'MTBF graph_CR51'!B:B,"&gt;="&amp;D1,'MTBF graph_CR51'!B:B,"&lt;="&amp;'Waterfall EZ60'!C1)</f>
        <v>0</v>
      </c>
      <c r="G2" t="s">
        <v>1380</v>
      </c>
      <c r="H2">
        <v>0.9</v>
      </c>
    </row>
    <row r="3" spans="1:15">
      <c r="B3" t="s">
        <v>963</v>
      </c>
      <c r="C3">
        <f>SUMIFS('MTBF graph_CR51'!F:F,'MTBF graph_CR51'!B:B,"&gt;="&amp;D1,'MTBF graph_CR51'!B:B,"&lt;="&amp;'Waterfall EZ60'!C1)</f>
        <v>0</v>
      </c>
    </row>
    <row r="4" spans="1:15">
      <c r="E4" s="534" t="s">
        <v>1381</v>
      </c>
      <c r="F4" s="534"/>
      <c r="G4" s="534" t="s">
        <v>1382</v>
      </c>
      <c r="H4" s="534"/>
    </row>
    <row r="5" spans="1:15">
      <c r="C5" t="s">
        <v>1383</v>
      </c>
      <c r="D5" t="s">
        <v>1384</v>
      </c>
      <c r="E5" t="s">
        <v>1385</v>
      </c>
      <c r="F5" t="s">
        <v>1242</v>
      </c>
      <c r="G5" t="s">
        <v>1385</v>
      </c>
      <c r="H5" t="s">
        <v>1242</v>
      </c>
      <c r="L5" t="s">
        <v>1386</v>
      </c>
      <c r="M5" t="s">
        <v>1387</v>
      </c>
      <c r="N5" t="s">
        <v>1242</v>
      </c>
      <c r="O5" t="s">
        <v>1388</v>
      </c>
    </row>
    <row r="6" spans="1:15">
      <c r="B6" t="s">
        <v>191</v>
      </c>
      <c r="F6" s="35" t="e">
        <f>C2/C3</f>
        <v>#DIV/0!</v>
      </c>
      <c r="H6" s="35" t="e">
        <f>C2/C3</f>
        <v>#DIV/0!</v>
      </c>
      <c r="K6" t="str">
        <f>B6</f>
        <v>Baseline</v>
      </c>
      <c r="L6" s="35" t="e">
        <f>F6</f>
        <v>#DIV/0!</v>
      </c>
      <c r="M6" s="35"/>
      <c r="O6" s="35" t="e">
        <f>L6</f>
        <v>#DIV/0!</v>
      </c>
    </row>
    <row r="7" spans="1:15">
      <c r="A7" s="67"/>
      <c r="B7" s="42" t="s">
        <v>1296</v>
      </c>
      <c r="C7" t="str">
        <f>_xlfn.XLOOKUP(B7,'MTBF(u+p) total report EZ60'!D:D,'MTBF(u+p) total report EZ60'!C:C,"not found",0)</f>
        <v>PG-48B4</v>
      </c>
      <c r="D7">
        <f>_xlfn.XLOOKUP(B7,'MTBF(u+p) total report EZ60'!D:D,'MTBF(u+p) total report EZ60'!K:K,"not found",0)</f>
        <v>0</v>
      </c>
      <c r="E7">
        <f>$C$3-(D7*$H$1)</f>
        <v>0</v>
      </c>
      <c r="F7" t="e">
        <f>$C$2/E7</f>
        <v>#DIV/0!</v>
      </c>
      <c r="G7">
        <f>$C$3-(D7*$H$2)</f>
        <v>0</v>
      </c>
      <c r="H7" t="e">
        <f t="shared" ref="H7:H20" si="0">$C$2/G7</f>
        <v>#DIV/0!</v>
      </c>
      <c r="K7" t="str">
        <f t="shared" ref="K7:K15" si="1">B7&amp;" - "&amp;C7</f>
        <v>P800996 - PG-48B4</v>
      </c>
      <c r="L7" s="35"/>
      <c r="M7" s="35" t="e">
        <f>L6</f>
        <v>#DIV/0!</v>
      </c>
      <c r="N7" s="35" t="e">
        <f t="shared" ref="N7:N15" si="2">F7-F6</f>
        <v>#DIV/0!</v>
      </c>
      <c r="O7" s="35"/>
    </row>
    <row r="8" spans="1:15">
      <c r="A8" s="67"/>
      <c r="B8" s="42" t="s">
        <v>1307</v>
      </c>
      <c r="C8" t="str">
        <f>_xlfn.XLOOKUP(B8,'MTBF(u+p) total report EZ60'!D:D,'MTBF(u+p) total report EZ60'!C:C,"not found",0)</f>
        <v>XNC-00C0</v>
      </c>
      <c r="D8">
        <f>_xlfn.XLOOKUP(B8,'MTBF(u+p) total report EZ60'!D:D,'MTBF(u+p) total report EZ60'!K:K,"not found",0)</f>
        <v>0</v>
      </c>
      <c r="E8">
        <f t="shared" ref="E8:E20" si="3">E7-(D8*$H$1)</f>
        <v>0</v>
      </c>
      <c r="F8" t="e">
        <f>$C$2/E8</f>
        <v>#DIV/0!</v>
      </c>
      <c r="G8">
        <f t="shared" ref="G8:G20" si="4">G7-(D8*$H$2)</f>
        <v>0</v>
      </c>
      <c r="H8" t="e">
        <f t="shared" si="0"/>
        <v>#DIV/0!</v>
      </c>
      <c r="K8" t="str">
        <f t="shared" si="1"/>
        <v>P704909 - XNC-00C0</v>
      </c>
      <c r="L8" s="35"/>
      <c r="M8" s="35" t="e">
        <f t="shared" ref="M8:M29" si="5">M7+N7</f>
        <v>#DIV/0!</v>
      </c>
      <c r="N8" s="35" t="e">
        <f t="shared" si="2"/>
        <v>#DIV/0!</v>
      </c>
      <c r="O8" s="35"/>
    </row>
    <row r="9" spans="1:15" hidden="1">
      <c r="A9" s="67"/>
      <c r="B9" s="42"/>
      <c r="C9">
        <f>_xlfn.XLOOKUP(B9,'MTBF(u+p) total report EZ60'!D:D,'MTBF(u+p) total report EZ60'!C:C,"not found",0)</f>
        <v>0</v>
      </c>
      <c r="D9">
        <f>_xlfn.XLOOKUP(B9,'MTBF(u+p) total report EZ60'!D:D,'MTBF(u+p) total report EZ60'!K:K,"not found",0)</f>
        <v>0</v>
      </c>
      <c r="E9">
        <f t="shared" si="3"/>
        <v>0</v>
      </c>
      <c r="F9" t="e">
        <f t="shared" ref="F9:F20" si="6">$C$2/E9</f>
        <v>#DIV/0!</v>
      </c>
      <c r="G9">
        <f t="shared" si="4"/>
        <v>0</v>
      </c>
      <c r="H9" t="e">
        <f t="shared" si="0"/>
        <v>#DIV/0!</v>
      </c>
      <c r="K9" t="str">
        <f t="shared" si="1"/>
        <v xml:space="preserve"> - 0</v>
      </c>
      <c r="L9" s="35"/>
      <c r="M9" s="35" t="e">
        <f t="shared" si="5"/>
        <v>#DIV/0!</v>
      </c>
      <c r="N9" s="35" t="e">
        <f t="shared" si="2"/>
        <v>#DIV/0!</v>
      </c>
      <c r="O9" s="35"/>
    </row>
    <row r="10" spans="1:15" hidden="1">
      <c r="A10" s="67"/>
      <c r="B10" s="42"/>
      <c r="C10">
        <f>_xlfn.XLOOKUP(B10,'MTBF(u+p) total report EZ60'!D:D,'MTBF(u+p) total report EZ60'!C:C,"not found",0)</f>
        <v>0</v>
      </c>
      <c r="D10">
        <f>_xlfn.XLOOKUP(B10,'MTBF(u+p) total report EZ60'!D:D,'MTBF(u+p) total report EZ60'!K:K,"not found",0)</f>
        <v>0</v>
      </c>
      <c r="E10">
        <f t="shared" si="3"/>
        <v>0</v>
      </c>
      <c r="F10" t="e">
        <f t="shared" si="6"/>
        <v>#DIV/0!</v>
      </c>
      <c r="G10">
        <f t="shared" si="4"/>
        <v>0</v>
      </c>
      <c r="H10" t="e">
        <f t="shared" si="0"/>
        <v>#DIV/0!</v>
      </c>
      <c r="K10" t="str">
        <f t="shared" si="1"/>
        <v xml:space="preserve"> - 0</v>
      </c>
      <c r="L10" s="35"/>
      <c r="M10" s="35" t="e">
        <f t="shared" si="5"/>
        <v>#DIV/0!</v>
      </c>
      <c r="N10" s="35" t="e">
        <f t="shared" si="2"/>
        <v>#DIV/0!</v>
      </c>
      <c r="O10" s="35"/>
    </row>
    <row r="11" spans="1:15" hidden="1">
      <c r="A11" s="67"/>
      <c r="B11" s="42"/>
      <c r="C11">
        <f>_xlfn.XLOOKUP(B11,'MTBF(u+p) total report EZ60'!D:D,'MTBF(u+p) total report EZ60'!C:C,"not found",0)</f>
        <v>0</v>
      </c>
      <c r="D11">
        <f>_xlfn.XLOOKUP(B11,'MTBF(u+p) total report EZ60'!D:D,'MTBF(u+p) total report EZ60'!K:K,"not found",0)</f>
        <v>0</v>
      </c>
      <c r="E11">
        <f t="shared" si="3"/>
        <v>0</v>
      </c>
      <c r="F11" t="e">
        <f t="shared" si="6"/>
        <v>#DIV/0!</v>
      </c>
      <c r="G11">
        <f t="shared" si="4"/>
        <v>0</v>
      </c>
      <c r="H11" t="e">
        <f t="shared" si="0"/>
        <v>#DIV/0!</v>
      </c>
      <c r="K11" t="str">
        <f t="shared" si="1"/>
        <v xml:space="preserve"> - 0</v>
      </c>
      <c r="L11" s="35"/>
      <c r="M11" s="35" t="e">
        <f t="shared" si="5"/>
        <v>#DIV/0!</v>
      </c>
      <c r="N11" s="35" t="e">
        <f t="shared" si="2"/>
        <v>#DIV/0!</v>
      </c>
      <c r="O11" s="35"/>
    </row>
    <row r="12" spans="1:15" hidden="1">
      <c r="A12" s="67"/>
      <c r="B12" s="42"/>
      <c r="C12">
        <f>_xlfn.XLOOKUP(B12,'MTBF(u+p) total report EZ60'!D:D,'MTBF(u+p) total report EZ60'!C:C,"not found",0)</f>
        <v>0</v>
      </c>
      <c r="D12">
        <f>_xlfn.XLOOKUP(B12,'MTBF(u+p) total report EZ60'!D:D,'MTBF(u+p) total report EZ60'!K:K,"not found",0)</f>
        <v>0</v>
      </c>
      <c r="E12">
        <f t="shared" si="3"/>
        <v>0</v>
      </c>
      <c r="F12" t="e">
        <f t="shared" si="6"/>
        <v>#DIV/0!</v>
      </c>
      <c r="G12">
        <f t="shared" si="4"/>
        <v>0</v>
      </c>
      <c r="H12" t="e">
        <f t="shared" si="0"/>
        <v>#DIV/0!</v>
      </c>
      <c r="K12" t="str">
        <f t="shared" si="1"/>
        <v xml:space="preserve"> - 0</v>
      </c>
      <c r="L12" s="35"/>
      <c r="M12" s="35" t="e">
        <f t="shared" si="5"/>
        <v>#DIV/0!</v>
      </c>
      <c r="N12" s="35" t="e">
        <f t="shared" si="2"/>
        <v>#DIV/0!</v>
      </c>
      <c r="O12" s="35"/>
    </row>
    <row r="13" spans="1:15" hidden="1">
      <c r="A13" s="67"/>
      <c r="B13" s="42"/>
      <c r="C13">
        <f>_xlfn.XLOOKUP(B13,'MTBF(u+p) total report EZ60'!D:D,'MTBF(u+p) total report EZ60'!C:C,"not found",0)</f>
        <v>0</v>
      </c>
      <c r="D13">
        <f>_xlfn.XLOOKUP(B13,'MTBF(u+p) total report EZ60'!D:D,'MTBF(u+p) total report EZ60'!K:K,"not found",0)</f>
        <v>0</v>
      </c>
      <c r="E13">
        <f t="shared" si="3"/>
        <v>0</v>
      </c>
      <c r="F13" t="e">
        <f t="shared" si="6"/>
        <v>#DIV/0!</v>
      </c>
      <c r="G13">
        <f t="shared" si="4"/>
        <v>0</v>
      </c>
      <c r="H13" t="e">
        <f t="shared" si="0"/>
        <v>#DIV/0!</v>
      </c>
      <c r="K13" t="str">
        <f t="shared" si="1"/>
        <v xml:space="preserve"> - 0</v>
      </c>
      <c r="L13" s="35"/>
      <c r="M13" s="35" t="e">
        <f t="shared" si="5"/>
        <v>#DIV/0!</v>
      </c>
      <c r="N13" s="35" t="e">
        <f t="shared" si="2"/>
        <v>#DIV/0!</v>
      </c>
      <c r="O13" s="35"/>
    </row>
    <row r="14" spans="1:15" hidden="1">
      <c r="A14" s="67"/>
      <c r="B14" s="42"/>
      <c r="C14">
        <f>_xlfn.XLOOKUP(B14,'MTBF(u+p) total report EZ60'!D:D,'MTBF(u+p) total report EZ60'!C:C,"not found",0)</f>
        <v>0</v>
      </c>
      <c r="D14">
        <f>_xlfn.XLOOKUP(B14,'MTBF(u+p) total report EZ60'!D:D,'MTBF(u+p) total report EZ60'!K:K,"not found",0)</f>
        <v>0</v>
      </c>
      <c r="E14">
        <f t="shared" si="3"/>
        <v>0</v>
      </c>
      <c r="F14" t="e">
        <f t="shared" si="6"/>
        <v>#DIV/0!</v>
      </c>
      <c r="G14">
        <f t="shared" si="4"/>
        <v>0</v>
      </c>
      <c r="H14" t="e">
        <f t="shared" si="0"/>
        <v>#DIV/0!</v>
      </c>
      <c r="K14" t="str">
        <f t="shared" si="1"/>
        <v xml:space="preserve"> - 0</v>
      </c>
      <c r="L14" s="35"/>
      <c r="M14" s="35" t="e">
        <f t="shared" si="5"/>
        <v>#DIV/0!</v>
      </c>
      <c r="N14" s="35" t="e">
        <f t="shared" si="2"/>
        <v>#DIV/0!</v>
      </c>
      <c r="O14" s="35"/>
    </row>
    <row r="15" spans="1:15" hidden="1">
      <c r="A15" s="67"/>
      <c r="B15" s="42"/>
      <c r="C15">
        <f>_xlfn.XLOOKUP(B15,'MTBF(u+p) total report EZ60'!D:D,'MTBF(u+p) total report EZ60'!C:C,"not found",0)</f>
        <v>0</v>
      </c>
      <c r="D15">
        <f>_xlfn.XLOOKUP(B15,'MTBF(u+p) total report EZ60'!D:D,'MTBF(u+p) total report EZ60'!K:K,"not found",0)</f>
        <v>0</v>
      </c>
      <c r="E15">
        <f t="shared" si="3"/>
        <v>0</v>
      </c>
      <c r="F15" t="e">
        <f t="shared" si="6"/>
        <v>#DIV/0!</v>
      </c>
      <c r="G15">
        <f t="shared" si="4"/>
        <v>0</v>
      </c>
      <c r="H15" t="e">
        <f t="shared" si="0"/>
        <v>#DIV/0!</v>
      </c>
      <c r="K15" t="str">
        <f t="shared" si="1"/>
        <v xml:space="preserve"> - 0</v>
      </c>
      <c r="L15" s="35"/>
      <c r="M15" s="35" t="e">
        <f>M14+N14</f>
        <v>#DIV/0!</v>
      </c>
      <c r="N15" s="35" t="e">
        <f t="shared" si="2"/>
        <v>#DIV/0!</v>
      </c>
      <c r="O15" s="35"/>
    </row>
    <row r="16" spans="1:15">
      <c r="B16" t="s">
        <v>988</v>
      </c>
      <c r="E16">
        <f t="shared" si="3"/>
        <v>0</v>
      </c>
      <c r="F16" t="e">
        <f t="shared" si="6"/>
        <v>#DIV/0!</v>
      </c>
      <c r="G16">
        <f t="shared" si="4"/>
        <v>0</v>
      </c>
      <c r="H16" t="e">
        <f t="shared" si="0"/>
        <v>#DIV/0!</v>
      </c>
      <c r="K16" t="str">
        <f>B16</f>
        <v>Solved</v>
      </c>
      <c r="L16" s="35" t="e">
        <f>F16</f>
        <v>#DIV/0!</v>
      </c>
      <c r="M16" s="35" t="e">
        <f t="shared" si="5"/>
        <v>#DIV/0!</v>
      </c>
      <c r="N16" s="35"/>
      <c r="O16" s="35" t="e">
        <f>L16</f>
        <v>#DIV/0!</v>
      </c>
    </row>
    <row r="17" spans="1:15" hidden="1">
      <c r="A17" s="66"/>
      <c r="B17" s="42"/>
      <c r="C17">
        <f>_xlfn.XLOOKUP(B17,'MTBF(u+p) total report EZ60'!D:D,'MTBF(u+p) total report EZ60'!C:C,"not found",0)</f>
        <v>0</v>
      </c>
      <c r="D17">
        <f>_xlfn.XLOOKUP(B17,'MTBF(u+p) total report EZ60'!D:D,'MTBF(u+p) total report EZ60'!K:K,"not found",0)</f>
        <v>0</v>
      </c>
      <c r="E17">
        <f t="shared" si="3"/>
        <v>0</v>
      </c>
      <c r="F17" t="e">
        <f t="shared" si="6"/>
        <v>#DIV/0!</v>
      </c>
      <c r="G17">
        <f t="shared" si="4"/>
        <v>0</v>
      </c>
      <c r="H17" t="e">
        <f t="shared" si="0"/>
        <v>#DIV/0!</v>
      </c>
      <c r="K17" t="str">
        <f>B17&amp;" - "&amp;C17</f>
        <v xml:space="preserve"> - 0</v>
      </c>
      <c r="L17" s="35"/>
      <c r="M17" s="35" t="e">
        <f>M16+N16</f>
        <v>#DIV/0!</v>
      </c>
      <c r="N17" s="35" t="e">
        <f>F17-F16</f>
        <v>#DIV/0!</v>
      </c>
      <c r="O17" s="35"/>
    </row>
    <row r="18" spans="1:15" hidden="1">
      <c r="A18" s="66"/>
      <c r="B18" s="42"/>
      <c r="C18">
        <f>_xlfn.XLOOKUP(B18,'MTBF(u+p) total report EZ60'!D:D,'MTBF(u+p) total report EZ60'!C:C,"not found",0)</f>
        <v>0</v>
      </c>
      <c r="D18">
        <f>_xlfn.XLOOKUP(B18,'MTBF(u+p) total report EZ60'!D:D,'MTBF(u+p) total report EZ60'!K:K,"not found",0)</f>
        <v>0</v>
      </c>
      <c r="E18">
        <f t="shared" si="3"/>
        <v>0</v>
      </c>
      <c r="F18" t="e">
        <f t="shared" si="6"/>
        <v>#DIV/0!</v>
      </c>
      <c r="G18">
        <f t="shared" si="4"/>
        <v>0</v>
      </c>
      <c r="H18" t="e">
        <f t="shared" si="0"/>
        <v>#DIV/0!</v>
      </c>
      <c r="K18" t="str">
        <f>B18&amp;" - "&amp;C18</f>
        <v xml:space="preserve"> - 0</v>
      </c>
      <c r="L18" s="35"/>
      <c r="M18" s="35" t="e">
        <f t="shared" si="5"/>
        <v>#DIV/0!</v>
      </c>
      <c r="N18" s="35" t="e">
        <f>F18-F17</f>
        <v>#DIV/0!</v>
      </c>
      <c r="O18" s="35"/>
    </row>
    <row r="19" spans="1:15" hidden="1">
      <c r="B19" t="s">
        <v>1389</v>
      </c>
      <c r="E19">
        <f t="shared" si="3"/>
        <v>0</v>
      </c>
      <c r="F19" t="e">
        <f t="shared" si="6"/>
        <v>#DIV/0!</v>
      </c>
      <c r="G19">
        <f t="shared" si="4"/>
        <v>0</v>
      </c>
      <c r="H19" t="e">
        <f t="shared" si="0"/>
        <v>#DIV/0!</v>
      </c>
      <c r="K19" t="str">
        <f>B19</f>
        <v>Contained</v>
      </c>
      <c r="L19" s="35" t="e">
        <f>F19</f>
        <v>#DIV/0!</v>
      </c>
      <c r="M19" s="35" t="e">
        <f>M18+N18</f>
        <v>#DIV/0!</v>
      </c>
      <c r="N19" s="35"/>
      <c r="O19" s="35" t="e">
        <f>L19</f>
        <v>#DIV/0!</v>
      </c>
    </row>
    <row r="20" spans="1:15">
      <c r="A20" s="65"/>
      <c r="B20" s="42" t="s">
        <v>324</v>
      </c>
      <c r="C20" t="str">
        <f>_xlfn.XLOOKUP(B20,'MTBF(u+p) total report EZ60'!D:D,'MTBF(u+p) total report EZ60'!C:C,"not found",0)</f>
        <v>LAA-010B</v>
      </c>
      <c r="D20">
        <f>_xlfn.XLOOKUP(B20,'MTBF(u+p) total report EZ60'!D:D,'MTBF(u+p) total report EZ60'!K:K,"not found",0)</f>
        <v>0</v>
      </c>
      <c r="E20">
        <f t="shared" si="3"/>
        <v>0</v>
      </c>
      <c r="F20" t="e">
        <f t="shared" si="6"/>
        <v>#DIV/0!</v>
      </c>
      <c r="G20">
        <f t="shared" si="4"/>
        <v>0</v>
      </c>
      <c r="H20" t="e">
        <f t="shared" si="0"/>
        <v>#DIV/0!</v>
      </c>
      <c r="K20" t="str">
        <f>B20&amp;" - "&amp;C20</f>
        <v>P732021 - LAA-010B</v>
      </c>
      <c r="L20" s="35"/>
      <c r="M20" s="35" t="e">
        <f t="shared" si="5"/>
        <v>#DIV/0!</v>
      </c>
      <c r="N20" s="35" t="e">
        <f>F20-F19</f>
        <v>#DIV/0!</v>
      </c>
      <c r="O20" s="35"/>
    </row>
    <row r="21" spans="1:15">
      <c r="A21" s="65"/>
      <c r="B21" s="42" t="s">
        <v>1309</v>
      </c>
      <c r="C21" t="str">
        <f>_xlfn.XLOOKUP(B21,'MTBF(u+p) total report EZ60'!D:D,'MTBF(u+p) total report EZ60'!C:C,"not found",0)</f>
        <v>WH-3104</v>
      </c>
      <c r="D21">
        <f>_xlfn.XLOOKUP(B21,'MTBF(u+p) total report EZ60'!D:D,'MTBF(u+p) total report EZ60'!K:K,"not found",0)</f>
        <v>0</v>
      </c>
      <c r="E21">
        <f t="shared" ref="E21:E30" si="7">E20-(D21*$H$1)</f>
        <v>0</v>
      </c>
      <c r="F21" t="e">
        <f t="shared" ref="F21:F30" si="8">$C$2/E21</f>
        <v>#DIV/0!</v>
      </c>
      <c r="G21">
        <f t="shared" ref="G21:G30" si="9">G20-(D21*$H$2)</f>
        <v>0</v>
      </c>
      <c r="H21" t="e">
        <f t="shared" ref="H21:H30" si="10">$C$2/G21</f>
        <v>#DIV/0!</v>
      </c>
      <c r="K21" t="str">
        <f>B21&amp;" - "&amp;C21</f>
        <v>P814396 - WH-3104</v>
      </c>
      <c r="L21" s="35"/>
      <c r="M21" s="35" t="e">
        <f>M20+N20</f>
        <v>#DIV/0!</v>
      </c>
      <c r="N21" s="35" t="e">
        <f>F21-F20</f>
        <v>#DIV/0!</v>
      </c>
      <c r="O21" s="35"/>
    </row>
    <row r="22" spans="1:15">
      <c r="A22" s="65"/>
      <c r="B22" s="42" t="s">
        <v>1390</v>
      </c>
      <c r="C22" t="str">
        <f>_xlfn.XLOOKUP(B22,'MTBF(u+p) total report EZ60'!D:D,'MTBF(u+p) total report EZ60'!C:C,"not found",0)</f>
        <v>not found</v>
      </c>
      <c r="D22" t="str">
        <f>_xlfn.XLOOKUP(B22,'MTBF(u+p) total report EZ60'!D:D,'MTBF(u+p) total report EZ60'!K:K,"not found",0)</f>
        <v>not found</v>
      </c>
      <c r="E22" t="e">
        <f t="shared" ref="E22" si="11">E21-(D22*$H$1)</f>
        <v>#VALUE!</v>
      </c>
      <c r="F22" t="e">
        <f t="shared" ref="F22" si="12">$C$2/E22</f>
        <v>#VALUE!</v>
      </c>
      <c r="G22" t="e">
        <f t="shared" ref="G22" si="13">G21-(D22*$H$2)</f>
        <v>#VALUE!</v>
      </c>
      <c r="H22" t="e">
        <f t="shared" ref="H22" si="14">$C$2/G22</f>
        <v>#VALUE!</v>
      </c>
      <c r="K22" t="str">
        <f>B22&amp;" - "&amp;C22</f>
        <v>P817313 - not found</v>
      </c>
      <c r="L22" s="35"/>
      <c r="M22" s="35" t="e">
        <f>M21+N21</f>
        <v>#DIV/0!</v>
      </c>
      <c r="N22" s="35" t="e">
        <f>F22-F21</f>
        <v>#VALUE!</v>
      </c>
      <c r="O22" s="35"/>
    </row>
    <row r="23" spans="1:15">
      <c r="B23" t="s">
        <v>991</v>
      </c>
      <c r="E23" t="e">
        <f t="shared" ref="E23" si="15">E22-(D23*$H$1)</f>
        <v>#VALUE!</v>
      </c>
      <c r="F23" t="e">
        <f t="shared" ref="F23" si="16">$C$2/E23</f>
        <v>#VALUE!</v>
      </c>
      <c r="G23" t="e">
        <f t="shared" ref="G23" si="17">G22-(D23*$H$2)</f>
        <v>#VALUE!</v>
      </c>
      <c r="H23" t="e">
        <f t="shared" ref="H23" si="18">$C$2/G23</f>
        <v>#VALUE!</v>
      </c>
      <c r="K23" t="str">
        <f>B23</f>
        <v>Planned</v>
      </c>
      <c r="L23" s="35" t="e">
        <f>F23</f>
        <v>#VALUE!</v>
      </c>
      <c r="M23" s="35" t="e">
        <f>M22+N22</f>
        <v>#DIV/0!</v>
      </c>
      <c r="N23" s="35"/>
      <c r="O23" s="35" t="e">
        <f>L23</f>
        <v>#VALUE!</v>
      </c>
    </row>
    <row r="24" spans="1:15">
      <c r="B24" s="42" t="s">
        <v>1302</v>
      </c>
      <c r="C24" t="str">
        <f>_xlfn.XLOOKUP(B24,'MTBF(u+p) total report EZ60'!D:D,'MTBF(u+p) total report EZ60'!C:C,"not found",0)</f>
        <v>RQ-B006</v>
      </c>
      <c r="D24">
        <f>_xlfn.XLOOKUP(B24,'MTBF(u+p) total report EZ60'!D:D,'MTBF(u+p) total report EZ60'!K:K,"not found",0)</f>
        <v>0</v>
      </c>
      <c r="E24" t="e">
        <f t="shared" si="7"/>
        <v>#VALUE!</v>
      </c>
      <c r="F24" t="e">
        <f t="shared" si="8"/>
        <v>#VALUE!</v>
      </c>
      <c r="G24" t="e">
        <f t="shared" si="9"/>
        <v>#VALUE!</v>
      </c>
      <c r="H24" t="e">
        <f t="shared" si="10"/>
        <v>#VALUE!</v>
      </c>
      <c r="K24" t="str">
        <f t="shared" ref="K24:K29" si="19">B24&amp;" - "&amp;C24</f>
        <v>P817307 - RQ-B006</v>
      </c>
      <c r="L24" s="35"/>
      <c r="M24" s="35" t="e">
        <f>M23+N23</f>
        <v>#DIV/0!</v>
      </c>
      <c r="N24" s="35" t="e">
        <f t="shared" ref="N24:N29" si="20">F24-F23</f>
        <v>#VALUE!</v>
      </c>
      <c r="O24" s="35"/>
    </row>
    <row r="25" spans="1:15" hidden="1">
      <c r="B25" s="42"/>
      <c r="C25">
        <f>_xlfn.XLOOKUP(B25,'MTBF(u+p) total report EZ60'!D:D,'MTBF(u+p) total report EZ60'!C:C,"not found",0)</f>
        <v>0</v>
      </c>
      <c r="D25">
        <f>_xlfn.XLOOKUP(B25,'MTBF(u+p) total report EZ60'!D:D,'MTBF(u+p) total report EZ60'!K:K,"not found",0)</f>
        <v>0</v>
      </c>
      <c r="E25" t="e">
        <f t="shared" si="7"/>
        <v>#VALUE!</v>
      </c>
      <c r="F25" t="e">
        <f t="shared" si="8"/>
        <v>#VALUE!</v>
      </c>
      <c r="G25" t="e">
        <f t="shared" si="9"/>
        <v>#VALUE!</v>
      </c>
      <c r="H25" t="e">
        <f t="shared" si="10"/>
        <v>#VALUE!</v>
      </c>
      <c r="K25" t="str">
        <f t="shared" si="19"/>
        <v xml:space="preserve"> - 0</v>
      </c>
      <c r="L25" s="35"/>
      <c r="M25" s="35" t="e">
        <f t="shared" si="5"/>
        <v>#DIV/0!</v>
      </c>
      <c r="N25" s="35" t="e">
        <f t="shared" si="20"/>
        <v>#VALUE!</v>
      </c>
      <c r="O25" s="35"/>
    </row>
    <row r="26" spans="1:15" hidden="1">
      <c r="B26" s="42"/>
      <c r="C26">
        <f>_xlfn.XLOOKUP(B26,'MTBF(u+p) total report EZ60'!D:D,'MTBF(u+p) total report EZ60'!C:C,"not found",0)</f>
        <v>0</v>
      </c>
      <c r="D26">
        <f>_xlfn.XLOOKUP(B26,'MTBF(u+p) total report EZ60'!D:D,'MTBF(u+p) total report EZ60'!K:K,"not found",0)</f>
        <v>0</v>
      </c>
      <c r="E26" t="e">
        <f t="shared" si="7"/>
        <v>#VALUE!</v>
      </c>
      <c r="F26" t="e">
        <f t="shared" si="8"/>
        <v>#VALUE!</v>
      </c>
      <c r="G26" t="e">
        <f t="shared" si="9"/>
        <v>#VALUE!</v>
      </c>
      <c r="H26" t="e">
        <f t="shared" si="10"/>
        <v>#VALUE!</v>
      </c>
      <c r="K26" t="str">
        <f t="shared" si="19"/>
        <v xml:space="preserve"> - 0</v>
      </c>
      <c r="L26" s="35"/>
      <c r="M26" s="35" t="e">
        <f t="shared" si="5"/>
        <v>#DIV/0!</v>
      </c>
      <c r="N26" s="35" t="e">
        <f t="shared" si="20"/>
        <v>#VALUE!</v>
      </c>
      <c r="O26" s="35"/>
    </row>
    <row r="27" spans="1:15" hidden="1">
      <c r="B27" s="42"/>
      <c r="C27">
        <f>_xlfn.XLOOKUP(B27,'MTBF(u+p) total report EZ60'!D:D,'MTBF(u+p) total report EZ60'!C:C,"not found",0)</f>
        <v>0</v>
      </c>
      <c r="D27">
        <f>_xlfn.XLOOKUP(B27,'MTBF(u+p) total report EZ60'!D:D,'MTBF(u+p) total report EZ60'!K:K,"not found",0)</f>
        <v>0</v>
      </c>
      <c r="E27" t="e">
        <f t="shared" si="7"/>
        <v>#VALUE!</v>
      </c>
      <c r="F27" t="e">
        <f t="shared" si="8"/>
        <v>#VALUE!</v>
      </c>
      <c r="G27" t="e">
        <f t="shared" si="9"/>
        <v>#VALUE!</v>
      </c>
      <c r="H27" t="e">
        <f t="shared" si="10"/>
        <v>#VALUE!</v>
      </c>
      <c r="K27" t="str">
        <f t="shared" si="19"/>
        <v xml:space="preserve"> - 0</v>
      </c>
      <c r="L27" s="35"/>
      <c r="M27" s="35" t="e">
        <f t="shared" si="5"/>
        <v>#DIV/0!</v>
      </c>
      <c r="N27" s="35" t="e">
        <f t="shared" si="20"/>
        <v>#VALUE!</v>
      </c>
      <c r="O27" s="35"/>
    </row>
    <row r="28" spans="1:15" hidden="1">
      <c r="B28" s="42"/>
      <c r="C28">
        <f>_xlfn.XLOOKUP(B28,'MTBF(u+p) total report EZ60'!D:D,'MTBF(u+p) total report EZ60'!C:C,"not found",0)</f>
        <v>0</v>
      </c>
      <c r="D28">
        <f>_xlfn.XLOOKUP(B28,'MTBF(u+p) total report EZ60'!D:D,'MTBF(u+p) total report EZ60'!K:K,"not found",0)</f>
        <v>0</v>
      </c>
      <c r="E28" t="e">
        <f t="shared" si="7"/>
        <v>#VALUE!</v>
      </c>
      <c r="F28" t="e">
        <f t="shared" si="8"/>
        <v>#VALUE!</v>
      </c>
      <c r="G28" t="e">
        <f t="shared" si="9"/>
        <v>#VALUE!</v>
      </c>
      <c r="H28" t="e">
        <f t="shared" si="10"/>
        <v>#VALUE!</v>
      </c>
      <c r="K28" t="str">
        <f t="shared" si="19"/>
        <v xml:space="preserve"> - 0</v>
      </c>
      <c r="L28" s="35"/>
      <c r="M28" s="35" t="e">
        <f t="shared" si="5"/>
        <v>#DIV/0!</v>
      </c>
      <c r="N28" s="35" t="e">
        <f t="shared" si="20"/>
        <v>#VALUE!</v>
      </c>
      <c r="O28" s="35"/>
    </row>
    <row r="29" spans="1:15" hidden="1">
      <c r="C29">
        <f>_xlfn.XLOOKUP(B29,'MTBF(u+p) total report EZ60'!D:D,'MTBF(u+p) total report EZ60'!C:C,"not found",0)</f>
        <v>0</v>
      </c>
      <c r="D29">
        <f>_xlfn.XLOOKUP(B29,'MTBF(u+p) total report EZ60'!D:D,'MTBF(u+p) total report EZ60'!K:K,"not found",0)</f>
        <v>0</v>
      </c>
      <c r="E29" t="e">
        <f t="shared" si="7"/>
        <v>#VALUE!</v>
      </c>
      <c r="F29" t="e">
        <f t="shared" si="8"/>
        <v>#VALUE!</v>
      </c>
      <c r="G29" t="e">
        <f t="shared" si="9"/>
        <v>#VALUE!</v>
      </c>
      <c r="H29" t="e">
        <f t="shared" si="10"/>
        <v>#VALUE!</v>
      </c>
      <c r="K29" t="str">
        <f t="shared" si="19"/>
        <v xml:space="preserve"> - 0</v>
      </c>
      <c r="L29" s="35"/>
      <c r="M29" s="35" t="e">
        <f t="shared" si="5"/>
        <v>#DIV/0!</v>
      </c>
      <c r="N29" s="35" t="e">
        <f t="shared" si="20"/>
        <v>#VALUE!</v>
      </c>
      <c r="O29" s="35"/>
    </row>
    <row r="30" spans="1:15">
      <c r="B30" t="s">
        <v>1391</v>
      </c>
      <c r="E30" t="e">
        <f t="shared" si="7"/>
        <v>#VALUE!</v>
      </c>
      <c r="F30" t="e">
        <f t="shared" si="8"/>
        <v>#VALUE!</v>
      </c>
      <c r="G30" t="e">
        <f t="shared" si="9"/>
        <v>#VALUE!</v>
      </c>
      <c r="H30" t="e">
        <f t="shared" si="10"/>
        <v>#VALUE!</v>
      </c>
      <c r="K30" t="str">
        <f>B30</f>
        <v>To be planned</v>
      </c>
      <c r="L30" s="35" t="e">
        <f>F30</f>
        <v>#VALUE!</v>
      </c>
      <c r="M30" s="35" t="e">
        <f>M29+N29</f>
        <v>#DIV/0!</v>
      </c>
      <c r="N30" s="35"/>
      <c r="O30" s="35" t="e">
        <f>L30</f>
        <v>#VALUE!</v>
      </c>
    </row>
    <row r="34" spans="2:3">
      <c r="B34" s="42"/>
      <c r="C34" s="42"/>
    </row>
    <row r="35" spans="2:3">
      <c r="B35" s="42"/>
      <c r="C35" s="42"/>
    </row>
    <row r="36" spans="2:3">
      <c r="B36" s="42"/>
      <c r="C36" s="42"/>
    </row>
    <row r="37" spans="2:3">
      <c r="B37" s="42"/>
      <c r="C37" s="42"/>
    </row>
    <row r="38" spans="2:3">
      <c r="B38" s="42"/>
      <c r="C38" s="42"/>
    </row>
    <row r="39" spans="2:3">
      <c r="B39" s="42"/>
      <c r="C39" s="42"/>
    </row>
    <row r="40" spans="2:3">
      <c r="B40" s="42"/>
    </row>
    <row r="41" spans="2:3">
      <c r="B41" s="42"/>
    </row>
    <row r="42" spans="2:3">
      <c r="B42" s="42"/>
    </row>
    <row r="43" spans="2:3">
      <c r="B43" s="42"/>
    </row>
    <row r="44" spans="2:3">
      <c r="B44" s="42"/>
    </row>
    <row r="45" spans="2:3">
      <c r="B45" s="42"/>
    </row>
    <row r="46" spans="2:3">
      <c r="B46" s="42"/>
    </row>
    <row r="47" spans="2:3">
      <c r="B47" s="42"/>
    </row>
    <row r="48" spans="2:3">
      <c r="B48" s="42"/>
    </row>
    <row r="49" spans="2:2">
      <c r="B49" s="42"/>
    </row>
    <row r="50" spans="2:2">
      <c r="B50" s="42"/>
    </row>
    <row r="51" spans="2:2">
      <c r="B51" s="42" t="s">
        <v>1390</v>
      </c>
    </row>
  </sheetData>
  <mergeCells count="2">
    <mergeCell ref="E4:F4"/>
    <mergeCell ref="G4:H4"/>
  </mergeCells>
  <conditionalFormatting sqref="B7:B15">
    <cfRule type="expression" dxfId="21" priority="9">
      <formula>$E7="1 - Solved"</formula>
    </cfRule>
    <cfRule type="expression" dxfId="20" priority="10">
      <formula>$E7="4 - Open"</formula>
    </cfRule>
    <cfRule type="expression" dxfId="19" priority="11">
      <formula>$E7="3 - Planned"</formula>
    </cfRule>
    <cfRule type="expression" dxfId="18" priority="12">
      <formula>$E7="2 - Contained"</formula>
    </cfRule>
  </conditionalFormatting>
  <conditionalFormatting sqref="B17:B18">
    <cfRule type="expression" dxfId="17" priority="29">
      <formula>$E17="1 - Solved"</formula>
    </cfRule>
    <cfRule type="expression" dxfId="16" priority="30">
      <formula>$E17="4 - Open"</formula>
    </cfRule>
    <cfRule type="expression" dxfId="15" priority="31">
      <formula>$E17="3 - Planned"</formula>
    </cfRule>
    <cfRule type="expression" dxfId="14" priority="32">
      <formula>$E17="2 - Contained"</formula>
    </cfRule>
  </conditionalFormatting>
  <conditionalFormatting sqref="B20:B22">
    <cfRule type="expression" dxfId="13" priority="5">
      <formula>$E20="1 - Solved"</formula>
    </cfRule>
    <cfRule type="expression" dxfId="12" priority="6">
      <formula>$E20="4 - Open"</formula>
    </cfRule>
    <cfRule type="expression" dxfId="11" priority="7">
      <formula>$E20="3 - Planned"</formula>
    </cfRule>
    <cfRule type="expression" dxfId="10" priority="8">
      <formula>$E20="2 - Contained"</formula>
    </cfRule>
  </conditionalFormatting>
  <conditionalFormatting sqref="B24:B28">
    <cfRule type="expression" dxfId="9" priority="1">
      <formula>$E24="1 - Solved"</formula>
    </cfRule>
    <cfRule type="expression" dxfId="8" priority="2">
      <formula>$E24="4 - Open"</formula>
    </cfRule>
    <cfRule type="expression" dxfId="7" priority="3">
      <formula>$E24="3 - Planned"</formula>
    </cfRule>
    <cfRule type="expression" dxfId="6" priority="4">
      <formula>$E24="2 - Contained"</formula>
    </cfRule>
  </conditionalFormatting>
  <conditionalFormatting sqref="B34:B51">
    <cfRule type="expression" dxfId="5" priority="13">
      <formula>$E34="1 - Solved"</formula>
    </cfRule>
    <cfRule type="expression" dxfId="4" priority="14">
      <formula>$E34="4 - Open"</formula>
    </cfRule>
    <cfRule type="expression" dxfId="3" priority="15">
      <formula>$E34="3 - Planned"</formula>
    </cfRule>
    <cfRule type="expression" dxfId="2" priority="16">
      <formula>$E34="2 - Contained"</formula>
    </cfRule>
  </conditionalFormatting>
  <dataValidations count="1">
    <dataValidation type="list" allowBlank="1" showInputMessage="1" showErrorMessage="1" sqref="C34:C39" xr:uid="{F4787AAA-E09D-4E3A-B570-E900DF7B7733}">
      <formula1>$AE$8:$AE$11</formula1>
    </dataValidation>
  </dataValidation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9F610-1A8C-4CF5-8C3E-0A6F3210B2C6}">
  <sheetPr codeName="Sheet20"/>
  <dimension ref="A1:T429"/>
  <sheetViews>
    <sheetView topLeftCell="A369" workbookViewId="0">
      <selection activeCell="O400" sqref="O400"/>
    </sheetView>
  </sheetViews>
  <sheetFormatPr defaultRowHeight="15"/>
  <cols>
    <col min="1" max="1" width="10.140625" bestFit="1" customWidth="1"/>
    <col min="2" max="2" width="106.5703125" customWidth="1"/>
    <col min="3" max="3" width="8.140625" bestFit="1" customWidth="1"/>
    <col min="4" max="4" width="13.140625" bestFit="1" customWidth="1"/>
    <col min="5" max="5" width="9.5703125" bestFit="1" customWidth="1"/>
    <col min="6" max="6" width="11.140625" bestFit="1" customWidth="1"/>
    <col min="7" max="7" width="13.140625" bestFit="1" customWidth="1"/>
    <col min="8" max="8" width="16.140625" hidden="1" customWidth="1"/>
    <col min="9" max="13" width="10.42578125" bestFit="1" customWidth="1"/>
    <col min="14" max="14" width="10.42578125" hidden="1" customWidth="1"/>
    <col min="15" max="15" width="85.140625" customWidth="1"/>
    <col min="16" max="16" width="6.85546875" bestFit="1" customWidth="1"/>
    <col min="17" max="18" width="9.85546875" bestFit="1" customWidth="1"/>
    <col min="19" max="19" width="60.85546875" bestFit="1" customWidth="1"/>
    <col min="20" max="20" width="80.85546875" bestFit="1" customWidth="1"/>
    <col min="21" max="21" width="10.140625" bestFit="1" customWidth="1"/>
    <col min="22" max="22" width="10" bestFit="1" customWidth="1"/>
    <col min="23" max="23" width="8.85546875" bestFit="1" customWidth="1"/>
    <col min="24" max="24" width="7.5703125" bestFit="1" customWidth="1"/>
  </cols>
  <sheetData>
    <row r="1" spans="1:20">
      <c r="A1" s="12" t="s">
        <v>1392</v>
      </c>
      <c r="B1" t="s">
        <v>1393</v>
      </c>
      <c r="C1" t="s">
        <v>1394</v>
      </c>
      <c r="D1" t="s">
        <v>1395</v>
      </c>
      <c r="E1" t="s">
        <v>968</v>
      </c>
      <c r="F1" t="s">
        <v>1396</v>
      </c>
      <c r="G1" t="s">
        <v>1397</v>
      </c>
      <c r="H1" t="s">
        <v>1398</v>
      </c>
      <c r="I1" t="s">
        <v>1399</v>
      </c>
      <c r="J1" t="s">
        <v>1400</v>
      </c>
      <c r="K1" t="s">
        <v>1401</v>
      </c>
      <c r="L1" t="s">
        <v>1402</v>
      </c>
      <c r="M1" t="s">
        <v>1403</v>
      </c>
      <c r="N1" t="s">
        <v>1404</v>
      </c>
      <c r="O1" t="s">
        <v>1405</v>
      </c>
      <c r="P1" t="s">
        <v>1406</v>
      </c>
      <c r="Q1" t="s">
        <v>1407</v>
      </c>
      <c r="R1" t="s">
        <v>1408</v>
      </c>
      <c r="S1" t="s">
        <v>1409</v>
      </c>
      <c r="T1" t="s">
        <v>1410</v>
      </c>
    </row>
    <row r="2" spans="1:20">
      <c r="A2" s="12" t="s">
        <v>1411</v>
      </c>
      <c r="B2" t="s">
        <v>1412</v>
      </c>
      <c r="C2" t="s">
        <v>321</v>
      </c>
      <c r="D2" t="s">
        <v>1413</v>
      </c>
      <c r="E2" t="s">
        <v>1414</v>
      </c>
      <c r="F2" t="s">
        <v>1415</v>
      </c>
      <c r="G2" t="s">
        <v>1416</v>
      </c>
      <c r="H2" s="172">
        <v>45656</v>
      </c>
      <c r="I2" t="s">
        <v>1417</v>
      </c>
      <c r="J2" s="172">
        <v>45448</v>
      </c>
      <c r="K2" s="172">
        <v>45448</v>
      </c>
      <c r="L2" s="172">
        <v>45449</v>
      </c>
      <c r="M2" s="172">
        <v>45474</v>
      </c>
      <c r="N2" s="172">
        <v>45484</v>
      </c>
      <c r="O2" s="12" t="s">
        <v>1418</v>
      </c>
      <c r="P2" t="s">
        <v>1419</v>
      </c>
      <c r="Q2" t="s">
        <v>1234</v>
      </c>
      <c r="R2" t="s">
        <v>1234</v>
      </c>
      <c r="S2" t="s">
        <v>1420</v>
      </c>
      <c r="T2" t="s">
        <v>1419</v>
      </c>
    </row>
    <row r="3" spans="1:20">
      <c r="A3" s="12" t="s">
        <v>1421</v>
      </c>
      <c r="B3" t="s">
        <v>1422</v>
      </c>
      <c r="C3" t="s">
        <v>1423</v>
      </c>
      <c r="D3" t="s">
        <v>1424</v>
      </c>
      <c r="E3" t="s">
        <v>1414</v>
      </c>
      <c r="F3" t="s">
        <v>1415</v>
      </c>
      <c r="G3" t="s">
        <v>1425</v>
      </c>
      <c r="H3" s="172">
        <v>45656</v>
      </c>
      <c r="I3" t="s">
        <v>1417</v>
      </c>
      <c r="J3" s="172">
        <v>45419</v>
      </c>
      <c r="K3" s="172">
        <v>45419</v>
      </c>
      <c r="L3" s="172">
        <v>45419</v>
      </c>
      <c r="M3" s="172">
        <v>45422</v>
      </c>
      <c r="N3" s="172">
        <v>45446</v>
      </c>
      <c r="O3" s="12" t="s">
        <v>1426</v>
      </c>
      <c r="P3" t="s">
        <v>1419</v>
      </c>
      <c r="Q3" t="s">
        <v>1234</v>
      </c>
      <c r="R3" t="s">
        <v>1234</v>
      </c>
      <c r="S3" t="s">
        <v>1420</v>
      </c>
      <c r="T3" t="s">
        <v>1419</v>
      </c>
    </row>
    <row r="4" spans="1:20">
      <c r="A4" s="12" t="s">
        <v>1427</v>
      </c>
      <c r="B4" t="s">
        <v>1428</v>
      </c>
      <c r="C4" t="s">
        <v>642</v>
      </c>
      <c r="D4" t="s">
        <v>1429</v>
      </c>
      <c r="E4" t="s">
        <v>1414</v>
      </c>
      <c r="F4" t="s">
        <v>1415</v>
      </c>
      <c r="G4" t="s">
        <v>1430</v>
      </c>
      <c r="H4" s="172">
        <v>45656</v>
      </c>
      <c r="I4" t="s">
        <v>1417</v>
      </c>
      <c r="J4" s="172">
        <v>45342</v>
      </c>
      <c r="K4" s="172">
        <v>45436</v>
      </c>
      <c r="L4" s="172">
        <v>45436</v>
      </c>
      <c r="M4" s="172">
        <v>45429</v>
      </c>
      <c r="N4" s="172">
        <v>45497</v>
      </c>
      <c r="O4" s="12" t="s">
        <v>1431</v>
      </c>
      <c r="P4" t="s">
        <v>1419</v>
      </c>
      <c r="Q4" t="s">
        <v>1234</v>
      </c>
      <c r="R4" t="s">
        <v>1234</v>
      </c>
      <c r="S4" t="s">
        <v>1420</v>
      </c>
      <c r="T4" t="s">
        <v>1419</v>
      </c>
    </row>
    <row r="5" spans="1:20">
      <c r="A5" s="12" t="s">
        <v>1432</v>
      </c>
      <c r="B5" t="s">
        <v>1433</v>
      </c>
      <c r="C5" t="s">
        <v>642</v>
      </c>
      <c r="D5" t="s">
        <v>1429</v>
      </c>
      <c r="E5" t="s">
        <v>1414</v>
      </c>
      <c r="F5" t="s">
        <v>1415</v>
      </c>
      <c r="G5" t="s">
        <v>1434</v>
      </c>
      <c r="H5" s="172">
        <v>45656</v>
      </c>
      <c r="I5" t="s">
        <v>1435</v>
      </c>
      <c r="J5" s="172">
        <v>45419</v>
      </c>
      <c r="K5" s="172">
        <v>45439</v>
      </c>
      <c r="L5" s="172">
        <v>45441</v>
      </c>
      <c r="M5" s="172">
        <v>45456</v>
      </c>
      <c r="N5" s="172">
        <v>45469</v>
      </c>
      <c r="O5" s="12" t="s">
        <v>1436</v>
      </c>
      <c r="P5" t="s">
        <v>1419</v>
      </c>
      <c r="Q5" t="s">
        <v>1234</v>
      </c>
      <c r="R5" t="s">
        <v>1234</v>
      </c>
      <c r="S5" t="s">
        <v>1420</v>
      </c>
      <c r="T5" t="s">
        <v>1419</v>
      </c>
    </row>
    <row r="6" spans="1:20">
      <c r="A6" s="12" t="s">
        <v>1437</v>
      </c>
      <c r="B6" t="s">
        <v>1438</v>
      </c>
      <c r="C6" t="s">
        <v>642</v>
      </c>
      <c r="D6" t="s">
        <v>1429</v>
      </c>
      <c r="E6" t="s">
        <v>1414</v>
      </c>
      <c r="F6" t="s">
        <v>1415</v>
      </c>
      <c r="G6" t="s">
        <v>1434</v>
      </c>
      <c r="H6" s="172">
        <v>45656</v>
      </c>
      <c r="I6" t="s">
        <v>1435</v>
      </c>
      <c r="J6" s="172">
        <v>45349</v>
      </c>
      <c r="K6" s="172">
        <v>45419</v>
      </c>
      <c r="L6" s="172">
        <v>45419</v>
      </c>
      <c r="M6" s="172">
        <v>45435</v>
      </c>
      <c r="N6" s="172">
        <v>45474</v>
      </c>
      <c r="O6" s="12" t="s">
        <v>1439</v>
      </c>
      <c r="P6" t="s">
        <v>1419</v>
      </c>
      <c r="Q6" t="s">
        <v>1234</v>
      </c>
      <c r="R6" t="s">
        <v>1234</v>
      </c>
      <c r="S6" t="s">
        <v>1420</v>
      </c>
      <c r="T6" t="s">
        <v>1419</v>
      </c>
    </row>
    <row r="7" spans="1:20">
      <c r="A7" s="12" t="s">
        <v>1440</v>
      </c>
      <c r="B7" t="s">
        <v>1441</v>
      </c>
      <c r="C7" t="s">
        <v>1442</v>
      </c>
      <c r="D7" t="s">
        <v>1443</v>
      </c>
      <c r="E7" t="s">
        <v>994</v>
      </c>
      <c r="F7" t="s">
        <v>1415</v>
      </c>
      <c r="G7" t="s">
        <v>1444</v>
      </c>
      <c r="H7" s="172">
        <v>45656</v>
      </c>
      <c r="I7" t="s">
        <v>1435</v>
      </c>
      <c r="J7" s="172">
        <v>45399</v>
      </c>
      <c r="K7" s="172">
        <v>45399</v>
      </c>
      <c r="L7" s="172">
        <v>45399</v>
      </c>
      <c r="M7" s="172">
        <v>45401</v>
      </c>
      <c r="N7" s="172">
        <v>45477</v>
      </c>
      <c r="O7" s="12" t="s">
        <v>1445</v>
      </c>
      <c r="P7" t="s">
        <v>1419</v>
      </c>
      <c r="Q7" t="s">
        <v>1234</v>
      </c>
      <c r="R7" t="s">
        <v>1234</v>
      </c>
      <c r="S7" t="s">
        <v>1420</v>
      </c>
      <c r="T7" t="s">
        <v>1419</v>
      </c>
    </row>
    <row r="8" spans="1:20">
      <c r="A8" s="12" t="s">
        <v>1446</v>
      </c>
      <c r="B8" t="s">
        <v>1447</v>
      </c>
      <c r="C8" t="s">
        <v>642</v>
      </c>
      <c r="D8" t="s">
        <v>1429</v>
      </c>
      <c r="E8" t="s">
        <v>1414</v>
      </c>
      <c r="F8" t="s">
        <v>1415</v>
      </c>
      <c r="G8" t="s">
        <v>1448</v>
      </c>
      <c r="H8" s="172">
        <v>45656</v>
      </c>
      <c r="I8" t="s">
        <v>1417</v>
      </c>
      <c r="J8" s="172">
        <v>45400</v>
      </c>
      <c r="K8" s="172">
        <v>45412</v>
      </c>
      <c r="L8" s="172">
        <v>45412</v>
      </c>
      <c r="M8" s="172">
        <v>45463</v>
      </c>
      <c r="N8" s="172">
        <v>45497</v>
      </c>
      <c r="O8" s="12" t="s">
        <v>1449</v>
      </c>
      <c r="P8" t="s">
        <v>1419</v>
      </c>
      <c r="Q8" t="s">
        <v>1234</v>
      </c>
      <c r="R8" t="s">
        <v>1234</v>
      </c>
      <c r="S8" t="s">
        <v>1420</v>
      </c>
      <c r="T8" t="s">
        <v>1419</v>
      </c>
    </row>
    <row r="9" spans="1:20">
      <c r="A9" s="12" t="s">
        <v>1450</v>
      </c>
      <c r="B9" t="s">
        <v>1451</v>
      </c>
      <c r="C9" t="s">
        <v>642</v>
      </c>
      <c r="D9" t="s">
        <v>1429</v>
      </c>
      <c r="E9" t="s">
        <v>994</v>
      </c>
      <c r="F9" t="s">
        <v>1415</v>
      </c>
      <c r="G9" t="s">
        <v>1415</v>
      </c>
      <c r="H9" s="172">
        <v>45670</v>
      </c>
      <c r="I9" t="s">
        <v>1435</v>
      </c>
      <c r="J9" s="172">
        <v>45258</v>
      </c>
      <c r="K9" s="172">
        <v>45565</v>
      </c>
      <c r="L9" s="172">
        <v>45565</v>
      </c>
      <c r="M9" s="172">
        <v>45589</v>
      </c>
      <c r="N9" s="172">
        <v>45709</v>
      </c>
      <c r="O9" s="12" t="s">
        <v>1452</v>
      </c>
      <c r="P9" t="s">
        <v>1419</v>
      </c>
      <c r="Q9" t="s">
        <v>1234</v>
      </c>
      <c r="R9" t="s">
        <v>1453</v>
      </c>
      <c r="S9" t="s">
        <v>1454</v>
      </c>
      <c r="T9" t="s">
        <v>1455</v>
      </c>
    </row>
    <row r="10" spans="1:20">
      <c r="A10" s="12" t="s">
        <v>1456</v>
      </c>
      <c r="B10" t="s">
        <v>1457</v>
      </c>
      <c r="C10" t="s">
        <v>642</v>
      </c>
      <c r="D10" t="s">
        <v>1429</v>
      </c>
      <c r="E10" t="s">
        <v>994</v>
      </c>
      <c r="F10" t="s">
        <v>1415</v>
      </c>
      <c r="G10" t="s">
        <v>1415</v>
      </c>
      <c r="H10" s="172">
        <v>45670</v>
      </c>
      <c r="I10" t="s">
        <v>1435</v>
      </c>
      <c r="J10" s="172">
        <v>45596</v>
      </c>
      <c r="K10" s="172">
        <v>45624</v>
      </c>
      <c r="L10" s="172">
        <v>45624</v>
      </c>
      <c r="M10" s="172">
        <v>45624</v>
      </c>
      <c r="N10" s="172">
        <v>45709</v>
      </c>
      <c r="O10" s="12" t="s">
        <v>1458</v>
      </c>
      <c r="P10" t="s">
        <v>1419</v>
      </c>
      <c r="Q10" t="s">
        <v>1234</v>
      </c>
      <c r="R10" t="s">
        <v>1453</v>
      </c>
      <c r="S10" t="s">
        <v>1454</v>
      </c>
      <c r="T10" t="s">
        <v>1459</v>
      </c>
    </row>
    <row r="11" spans="1:20">
      <c r="A11" s="12" t="s">
        <v>1460</v>
      </c>
      <c r="B11" t="s">
        <v>1461</v>
      </c>
      <c r="C11" t="s">
        <v>642</v>
      </c>
      <c r="D11" t="s">
        <v>1429</v>
      </c>
      <c r="E11" t="s">
        <v>994</v>
      </c>
      <c r="F11" t="s">
        <v>1415</v>
      </c>
      <c r="G11" t="s">
        <v>1415</v>
      </c>
      <c r="H11" s="172">
        <v>45670</v>
      </c>
      <c r="I11" t="s">
        <v>1435</v>
      </c>
      <c r="J11" s="172">
        <v>45364</v>
      </c>
      <c r="K11" s="172">
        <v>45618</v>
      </c>
      <c r="L11" s="172">
        <v>45618</v>
      </c>
      <c r="M11" s="172">
        <v>45674</v>
      </c>
      <c r="N11" s="172">
        <v>45709</v>
      </c>
      <c r="O11" s="12" t="s">
        <v>1458</v>
      </c>
      <c r="P11" t="s">
        <v>1419</v>
      </c>
      <c r="Q11" t="s">
        <v>1234</v>
      </c>
      <c r="R11" t="s">
        <v>994</v>
      </c>
      <c r="S11" t="s">
        <v>1454</v>
      </c>
      <c r="T11" t="s">
        <v>1462</v>
      </c>
    </row>
    <row r="12" spans="1:20">
      <c r="A12" s="12" t="s">
        <v>1041</v>
      </c>
      <c r="B12" t="s">
        <v>1463</v>
      </c>
      <c r="C12" t="s">
        <v>786</v>
      </c>
      <c r="D12" t="s">
        <v>1464</v>
      </c>
      <c r="E12" t="s">
        <v>994</v>
      </c>
      <c r="F12" t="s">
        <v>1415</v>
      </c>
      <c r="G12" t="s">
        <v>1415</v>
      </c>
      <c r="H12" s="172">
        <v>45679</v>
      </c>
      <c r="I12" t="s">
        <v>1417</v>
      </c>
      <c r="J12" s="172">
        <v>45603</v>
      </c>
      <c r="K12" s="172">
        <v>45625</v>
      </c>
      <c r="L12" s="172">
        <v>45611</v>
      </c>
      <c r="M12" s="172">
        <v>45632</v>
      </c>
      <c r="N12" s="172">
        <v>45646</v>
      </c>
      <c r="O12" s="12" t="s">
        <v>1465</v>
      </c>
      <c r="P12" t="s">
        <v>1366</v>
      </c>
      <c r="Q12" t="s">
        <v>1234</v>
      </c>
      <c r="R12" t="s">
        <v>1453</v>
      </c>
      <c r="S12" t="s">
        <v>1454</v>
      </c>
      <c r="T12" t="s">
        <v>1466</v>
      </c>
    </row>
    <row r="13" spans="1:20">
      <c r="A13" s="12" t="s">
        <v>1467</v>
      </c>
      <c r="B13" t="s">
        <v>1468</v>
      </c>
      <c r="C13" t="s">
        <v>642</v>
      </c>
      <c r="D13" t="s">
        <v>1429</v>
      </c>
      <c r="E13" t="s">
        <v>994</v>
      </c>
      <c r="F13" t="s">
        <v>1415</v>
      </c>
      <c r="G13" t="s">
        <v>1415</v>
      </c>
      <c r="H13" s="172">
        <v>45670</v>
      </c>
      <c r="I13" t="s">
        <v>1435</v>
      </c>
      <c r="J13" s="172">
        <v>45520</v>
      </c>
      <c r="K13" s="172">
        <v>45520</v>
      </c>
      <c r="L13" s="172">
        <v>45520</v>
      </c>
      <c r="M13" s="172">
        <v>45589</v>
      </c>
      <c r="N13" s="172">
        <v>45709</v>
      </c>
      <c r="O13" s="12" t="s">
        <v>1469</v>
      </c>
      <c r="P13" t="s">
        <v>1419</v>
      </c>
      <c r="Q13" t="s">
        <v>1234</v>
      </c>
      <c r="R13" t="s">
        <v>1453</v>
      </c>
      <c r="S13" t="s">
        <v>1454</v>
      </c>
      <c r="T13" t="s">
        <v>1470</v>
      </c>
    </row>
    <row r="14" spans="1:20">
      <c r="A14" s="12" t="s">
        <v>1471</v>
      </c>
      <c r="B14" t="s">
        <v>1472</v>
      </c>
      <c r="C14" t="s">
        <v>642</v>
      </c>
      <c r="D14" t="s">
        <v>1429</v>
      </c>
      <c r="E14" t="s">
        <v>1414</v>
      </c>
      <c r="F14" t="s">
        <v>1415</v>
      </c>
      <c r="G14" t="s">
        <v>1473</v>
      </c>
      <c r="H14" s="172">
        <v>45656</v>
      </c>
      <c r="I14" t="s">
        <v>1435</v>
      </c>
      <c r="J14" s="172">
        <v>45499</v>
      </c>
      <c r="K14" s="172">
        <v>45509</v>
      </c>
      <c r="L14" s="172">
        <v>45509</v>
      </c>
      <c r="M14" s="172">
        <v>45509</v>
      </c>
      <c r="N14" s="172">
        <v>45509</v>
      </c>
      <c r="O14" s="12" t="s">
        <v>1474</v>
      </c>
      <c r="P14" t="s">
        <v>1419</v>
      </c>
      <c r="Q14" t="s">
        <v>1234</v>
      </c>
      <c r="R14" t="s">
        <v>1234</v>
      </c>
      <c r="S14" t="s">
        <v>1475</v>
      </c>
      <c r="T14" t="s">
        <v>1419</v>
      </c>
    </row>
    <row r="15" spans="1:20">
      <c r="A15" s="12" t="s">
        <v>1476</v>
      </c>
      <c r="B15" t="s">
        <v>1477</v>
      </c>
      <c r="C15" t="s">
        <v>1478</v>
      </c>
      <c r="D15" t="s">
        <v>1479</v>
      </c>
      <c r="E15" t="s">
        <v>994</v>
      </c>
      <c r="F15" t="s">
        <v>1415</v>
      </c>
      <c r="G15" t="s">
        <v>1434</v>
      </c>
      <c r="H15" s="172">
        <v>45656</v>
      </c>
      <c r="I15" t="s">
        <v>1435</v>
      </c>
      <c r="J15" s="172">
        <v>45244</v>
      </c>
      <c r="K15" s="172">
        <v>45244</v>
      </c>
      <c r="L15" s="172">
        <v>45244</v>
      </c>
      <c r="M15" s="172">
        <v>45244</v>
      </c>
      <c r="N15" s="172">
        <v>45498</v>
      </c>
      <c r="O15" s="12" t="s">
        <v>1480</v>
      </c>
      <c r="P15" t="s">
        <v>1419</v>
      </c>
      <c r="Q15" t="s">
        <v>1234</v>
      </c>
      <c r="R15" t="s">
        <v>1234</v>
      </c>
      <c r="S15" t="s">
        <v>1475</v>
      </c>
      <c r="T15" t="s">
        <v>1419</v>
      </c>
    </row>
    <row r="16" spans="1:20">
      <c r="A16" s="12" t="s">
        <v>1481</v>
      </c>
      <c r="B16" t="s">
        <v>1482</v>
      </c>
      <c r="C16" t="s">
        <v>642</v>
      </c>
      <c r="D16" t="s">
        <v>1429</v>
      </c>
      <c r="E16" t="s">
        <v>1483</v>
      </c>
      <c r="F16" t="s">
        <v>1415</v>
      </c>
      <c r="G16" t="s">
        <v>1434</v>
      </c>
      <c r="H16" s="172">
        <v>45656</v>
      </c>
      <c r="I16" t="s">
        <v>1435</v>
      </c>
      <c r="J16" s="172">
        <v>45481</v>
      </c>
      <c r="K16" s="172">
        <v>45502</v>
      </c>
      <c r="L16" s="172">
        <v>45502</v>
      </c>
      <c r="M16" s="172">
        <v>45502</v>
      </c>
      <c r="N16" s="172">
        <v>45497</v>
      </c>
      <c r="O16" s="12" t="s">
        <v>1484</v>
      </c>
      <c r="P16" t="s">
        <v>1419</v>
      </c>
      <c r="Q16" t="s">
        <v>1234</v>
      </c>
      <c r="R16" t="s">
        <v>1234</v>
      </c>
      <c r="S16" t="s">
        <v>1475</v>
      </c>
      <c r="T16" t="s">
        <v>1419</v>
      </c>
    </row>
    <row r="17" spans="1:20">
      <c r="A17" s="12" t="s">
        <v>1485</v>
      </c>
      <c r="B17" t="s">
        <v>1486</v>
      </c>
      <c r="C17" t="s">
        <v>1487</v>
      </c>
      <c r="D17" t="s">
        <v>1488</v>
      </c>
      <c r="E17" t="s">
        <v>994</v>
      </c>
      <c r="F17" t="s">
        <v>1415</v>
      </c>
      <c r="G17" t="s">
        <v>1489</v>
      </c>
      <c r="H17" s="172">
        <v>45656</v>
      </c>
      <c r="I17" t="s">
        <v>1435</v>
      </c>
      <c r="J17" s="172">
        <v>45316</v>
      </c>
      <c r="K17" s="172">
        <v>45316</v>
      </c>
      <c r="L17" s="172">
        <v>45316</v>
      </c>
      <c r="M17" s="172">
        <v>45316</v>
      </c>
      <c r="N17" s="172">
        <v>45478</v>
      </c>
      <c r="O17" s="12" t="s">
        <v>1490</v>
      </c>
      <c r="P17" t="s">
        <v>1419</v>
      </c>
      <c r="Q17" t="s">
        <v>1234</v>
      </c>
      <c r="R17" t="s">
        <v>1234</v>
      </c>
      <c r="S17" t="s">
        <v>1475</v>
      </c>
      <c r="T17" t="s">
        <v>1419</v>
      </c>
    </row>
    <row r="18" spans="1:20">
      <c r="A18" s="12" t="s">
        <v>1491</v>
      </c>
      <c r="B18" t="s">
        <v>1492</v>
      </c>
      <c r="C18" t="s">
        <v>786</v>
      </c>
      <c r="D18" t="s">
        <v>1493</v>
      </c>
      <c r="E18" t="s">
        <v>1483</v>
      </c>
      <c r="F18" t="s">
        <v>1415</v>
      </c>
      <c r="G18" t="s">
        <v>1489</v>
      </c>
      <c r="H18" s="172">
        <v>45656</v>
      </c>
      <c r="I18" t="s">
        <v>1435</v>
      </c>
      <c r="J18" s="172">
        <v>44995</v>
      </c>
      <c r="K18" s="172">
        <v>45048</v>
      </c>
      <c r="L18" s="172">
        <v>45471</v>
      </c>
      <c r="M18" s="172">
        <v>45492</v>
      </c>
      <c r="N18" s="172">
        <v>45513</v>
      </c>
      <c r="O18" s="12" t="s">
        <v>1494</v>
      </c>
      <c r="P18" t="s">
        <v>1419</v>
      </c>
      <c r="Q18" t="s">
        <v>1234</v>
      </c>
      <c r="R18" t="s">
        <v>1234</v>
      </c>
      <c r="S18" t="s">
        <v>1475</v>
      </c>
      <c r="T18" t="s">
        <v>1419</v>
      </c>
    </row>
    <row r="19" spans="1:20">
      <c r="A19" s="12" t="s">
        <v>1495</v>
      </c>
      <c r="B19" t="s">
        <v>1496</v>
      </c>
      <c r="C19" t="s">
        <v>1497</v>
      </c>
      <c r="D19" t="s">
        <v>1498</v>
      </c>
      <c r="E19" t="s">
        <v>994</v>
      </c>
      <c r="F19" t="s">
        <v>1415</v>
      </c>
      <c r="G19" t="s">
        <v>1499</v>
      </c>
      <c r="H19" s="172">
        <v>45656</v>
      </c>
      <c r="I19" t="s">
        <v>1417</v>
      </c>
      <c r="J19" s="172">
        <v>45441</v>
      </c>
      <c r="K19" s="172">
        <v>45441</v>
      </c>
      <c r="L19" s="172">
        <v>45443</v>
      </c>
      <c r="M19" s="172">
        <v>45457</v>
      </c>
      <c r="N19" s="172">
        <v>45482</v>
      </c>
      <c r="O19" s="12" t="s">
        <v>1500</v>
      </c>
      <c r="P19" t="s">
        <v>1419</v>
      </c>
      <c r="Q19" t="s">
        <v>1234</v>
      </c>
      <c r="R19" t="s">
        <v>1234</v>
      </c>
      <c r="S19" t="s">
        <v>1475</v>
      </c>
      <c r="T19" t="s">
        <v>1419</v>
      </c>
    </row>
    <row r="20" spans="1:20">
      <c r="A20" s="12" t="s">
        <v>1062</v>
      </c>
      <c r="B20" t="s">
        <v>1501</v>
      </c>
      <c r="C20" t="s">
        <v>642</v>
      </c>
      <c r="D20" t="s">
        <v>1429</v>
      </c>
      <c r="E20" t="s">
        <v>1414</v>
      </c>
      <c r="F20" t="s">
        <v>1415</v>
      </c>
      <c r="G20" t="s">
        <v>1502</v>
      </c>
      <c r="H20" s="172">
        <v>45656</v>
      </c>
      <c r="I20" t="s">
        <v>1417</v>
      </c>
      <c r="J20" s="172">
        <v>45418</v>
      </c>
      <c r="K20" s="172">
        <v>45457</v>
      </c>
      <c r="L20" s="172">
        <v>45457</v>
      </c>
      <c r="M20" s="172">
        <v>45499</v>
      </c>
      <c r="N20" s="172">
        <v>45513</v>
      </c>
      <c r="O20" s="12" t="s">
        <v>1503</v>
      </c>
      <c r="P20" t="s">
        <v>1419</v>
      </c>
      <c r="Q20" t="s">
        <v>1234</v>
      </c>
      <c r="R20" t="s">
        <v>1234</v>
      </c>
      <c r="S20" t="s">
        <v>1475</v>
      </c>
      <c r="T20" t="s">
        <v>1419</v>
      </c>
    </row>
    <row r="21" spans="1:20">
      <c r="A21" s="12" t="s">
        <v>1504</v>
      </c>
      <c r="B21" t="s">
        <v>1505</v>
      </c>
      <c r="C21" t="s">
        <v>642</v>
      </c>
      <c r="D21" t="s">
        <v>1429</v>
      </c>
      <c r="E21" t="s">
        <v>1414</v>
      </c>
      <c r="F21" t="s">
        <v>1415</v>
      </c>
      <c r="G21" t="s">
        <v>1506</v>
      </c>
      <c r="H21" s="172">
        <v>45656</v>
      </c>
      <c r="I21" t="s">
        <v>1417</v>
      </c>
      <c r="J21" s="172">
        <v>45427</v>
      </c>
      <c r="K21" s="172">
        <v>45488</v>
      </c>
      <c r="L21" s="172">
        <v>45492</v>
      </c>
      <c r="M21" s="172">
        <v>45506</v>
      </c>
      <c r="N21" s="172">
        <v>45506</v>
      </c>
      <c r="O21" s="12" t="s">
        <v>1507</v>
      </c>
      <c r="P21" t="s">
        <v>1419</v>
      </c>
      <c r="Q21" t="s">
        <v>1234</v>
      </c>
      <c r="R21" t="s">
        <v>1234</v>
      </c>
      <c r="S21" t="s">
        <v>1475</v>
      </c>
      <c r="T21" t="s">
        <v>1419</v>
      </c>
    </row>
    <row r="22" spans="1:20">
      <c r="A22" s="12" t="s">
        <v>1508</v>
      </c>
      <c r="B22" t="s">
        <v>1509</v>
      </c>
      <c r="C22" t="s">
        <v>642</v>
      </c>
      <c r="D22" t="s">
        <v>1429</v>
      </c>
      <c r="E22" t="s">
        <v>994</v>
      </c>
      <c r="F22" t="s">
        <v>1415</v>
      </c>
      <c r="G22" t="s">
        <v>1506</v>
      </c>
      <c r="H22" s="172">
        <v>45656</v>
      </c>
      <c r="I22" t="s">
        <v>1435</v>
      </c>
      <c r="J22" s="172">
        <v>45411</v>
      </c>
      <c r="K22" s="172">
        <v>45412</v>
      </c>
      <c r="L22" s="172">
        <v>45413</v>
      </c>
      <c r="M22" s="172">
        <v>45429</v>
      </c>
      <c r="N22" s="172">
        <v>45510</v>
      </c>
      <c r="O22" s="12" t="s">
        <v>1510</v>
      </c>
      <c r="P22" t="s">
        <v>1419</v>
      </c>
      <c r="Q22" t="s">
        <v>1234</v>
      </c>
      <c r="R22" t="s">
        <v>1234</v>
      </c>
      <c r="S22" t="s">
        <v>1475</v>
      </c>
      <c r="T22" t="s">
        <v>1419</v>
      </c>
    </row>
    <row r="23" spans="1:20">
      <c r="A23" s="12" t="s">
        <v>1332</v>
      </c>
      <c r="B23" t="s">
        <v>1511</v>
      </c>
      <c r="C23" t="s">
        <v>642</v>
      </c>
      <c r="D23" t="s">
        <v>1429</v>
      </c>
      <c r="E23" t="s">
        <v>994</v>
      </c>
      <c r="F23" t="s">
        <v>1415</v>
      </c>
      <c r="G23" t="s">
        <v>1499</v>
      </c>
      <c r="H23" s="172">
        <v>45656</v>
      </c>
      <c r="I23" t="s">
        <v>1417</v>
      </c>
      <c r="J23" s="172">
        <v>45488</v>
      </c>
      <c r="K23" s="172">
        <v>45497</v>
      </c>
      <c r="L23" s="172">
        <v>45504</v>
      </c>
      <c r="M23" s="172">
        <v>45506</v>
      </c>
      <c r="N23" s="172">
        <v>45509</v>
      </c>
      <c r="O23" s="12" t="s">
        <v>1512</v>
      </c>
      <c r="P23" t="s">
        <v>1419</v>
      </c>
      <c r="Q23" t="s">
        <v>1234</v>
      </c>
      <c r="R23" t="s">
        <v>1234</v>
      </c>
      <c r="S23" t="s">
        <v>1475</v>
      </c>
      <c r="T23" t="s">
        <v>1419</v>
      </c>
    </row>
    <row r="24" spans="1:20">
      <c r="A24" s="12" t="s">
        <v>1513</v>
      </c>
      <c r="B24" t="s">
        <v>1514</v>
      </c>
      <c r="C24" t="s">
        <v>642</v>
      </c>
      <c r="D24" t="s">
        <v>1429</v>
      </c>
      <c r="E24" t="s">
        <v>994</v>
      </c>
      <c r="F24" t="s">
        <v>1415</v>
      </c>
      <c r="G24" t="s">
        <v>1499</v>
      </c>
      <c r="H24" s="172">
        <v>45656</v>
      </c>
      <c r="I24" t="s">
        <v>1417</v>
      </c>
      <c r="J24" s="172">
        <v>45348</v>
      </c>
      <c r="K24" s="172">
        <v>45414</v>
      </c>
      <c r="L24" s="172">
        <v>45456</v>
      </c>
      <c r="M24" s="172">
        <v>45492</v>
      </c>
      <c r="N24" s="172">
        <v>45513</v>
      </c>
      <c r="O24" s="12" t="s">
        <v>1515</v>
      </c>
      <c r="P24" t="s">
        <v>1419</v>
      </c>
      <c r="Q24" t="s">
        <v>1234</v>
      </c>
      <c r="R24" t="s">
        <v>1234</v>
      </c>
      <c r="S24" t="s">
        <v>1475</v>
      </c>
      <c r="T24" t="s">
        <v>1419</v>
      </c>
    </row>
    <row r="25" spans="1:20">
      <c r="A25" s="12" t="s">
        <v>1516</v>
      </c>
      <c r="B25" t="s">
        <v>1517</v>
      </c>
      <c r="C25" t="s">
        <v>642</v>
      </c>
      <c r="D25" t="s">
        <v>1429</v>
      </c>
      <c r="E25" t="s">
        <v>1414</v>
      </c>
      <c r="F25" t="s">
        <v>1415</v>
      </c>
      <c r="G25" t="s">
        <v>1473</v>
      </c>
      <c r="H25" s="172"/>
      <c r="I25" t="s">
        <v>1435</v>
      </c>
      <c r="J25" s="172">
        <v>45573</v>
      </c>
      <c r="K25" s="172">
        <v>45579</v>
      </c>
      <c r="L25" s="172">
        <v>45579</v>
      </c>
      <c r="M25" s="172">
        <v>45579</v>
      </c>
      <c r="N25" s="172">
        <v>45512</v>
      </c>
      <c r="O25" s="12" t="s">
        <v>1518</v>
      </c>
      <c r="P25" t="s">
        <v>1419</v>
      </c>
      <c r="Q25" t="s">
        <v>1234</v>
      </c>
      <c r="R25" t="s">
        <v>1234</v>
      </c>
      <c r="S25" t="s">
        <v>1475</v>
      </c>
      <c r="T25" t="s">
        <v>1419</v>
      </c>
    </row>
    <row r="26" spans="1:20">
      <c r="A26" s="12" t="s">
        <v>1519</v>
      </c>
      <c r="B26" t="s">
        <v>1520</v>
      </c>
      <c r="C26" t="s">
        <v>1521</v>
      </c>
      <c r="D26" t="s">
        <v>1522</v>
      </c>
      <c r="E26" t="s">
        <v>994</v>
      </c>
      <c r="F26" t="s">
        <v>1415</v>
      </c>
      <c r="G26" t="s">
        <v>1523</v>
      </c>
      <c r="H26" s="172">
        <v>45511</v>
      </c>
      <c r="I26" t="s">
        <v>1435</v>
      </c>
      <c r="J26" s="172">
        <v>45133</v>
      </c>
      <c r="K26" s="172">
        <v>45156</v>
      </c>
      <c r="L26" s="172">
        <v>45205</v>
      </c>
      <c r="M26" s="172">
        <v>45275</v>
      </c>
      <c r="N26" s="172">
        <v>45511</v>
      </c>
      <c r="O26" s="12" t="s">
        <v>1524</v>
      </c>
      <c r="P26" t="s">
        <v>1419</v>
      </c>
      <c r="Q26" t="s">
        <v>1234</v>
      </c>
      <c r="R26" t="s">
        <v>1234</v>
      </c>
      <c r="S26" t="s">
        <v>1475</v>
      </c>
      <c r="T26" t="s">
        <v>1419</v>
      </c>
    </row>
    <row r="27" spans="1:20">
      <c r="A27" s="12" t="s">
        <v>1525</v>
      </c>
      <c r="B27" t="s">
        <v>1526</v>
      </c>
      <c r="C27" t="s">
        <v>786</v>
      </c>
      <c r="D27" t="s">
        <v>1493</v>
      </c>
      <c r="E27" t="s">
        <v>1414</v>
      </c>
      <c r="F27" t="s">
        <v>1415</v>
      </c>
      <c r="G27" t="s">
        <v>1473</v>
      </c>
      <c r="H27" s="172">
        <v>45656</v>
      </c>
      <c r="I27" t="s">
        <v>1435</v>
      </c>
      <c r="J27" s="172">
        <v>45390</v>
      </c>
      <c r="K27" s="172">
        <v>45390</v>
      </c>
      <c r="L27" s="172">
        <v>45379</v>
      </c>
      <c r="M27" s="172">
        <v>45492</v>
      </c>
      <c r="N27" s="172">
        <v>45498</v>
      </c>
      <c r="O27" s="12" t="s">
        <v>1527</v>
      </c>
      <c r="P27" t="s">
        <v>1419</v>
      </c>
      <c r="Q27" t="s">
        <v>1234</v>
      </c>
      <c r="R27" t="s">
        <v>1234</v>
      </c>
      <c r="S27" t="s">
        <v>1475</v>
      </c>
      <c r="T27" t="s">
        <v>1419</v>
      </c>
    </row>
    <row r="28" spans="1:20">
      <c r="A28" s="12" t="s">
        <v>1528</v>
      </c>
      <c r="B28" t="s">
        <v>1529</v>
      </c>
      <c r="C28" t="s">
        <v>321</v>
      </c>
      <c r="D28" t="s">
        <v>1530</v>
      </c>
      <c r="E28" t="s">
        <v>994</v>
      </c>
      <c r="F28" t="s">
        <v>1415</v>
      </c>
      <c r="G28" t="s">
        <v>1506</v>
      </c>
      <c r="H28" s="172">
        <v>45656</v>
      </c>
      <c r="I28" t="s">
        <v>1417</v>
      </c>
      <c r="J28" s="172">
        <v>45445</v>
      </c>
      <c r="K28" s="172">
        <v>45453</v>
      </c>
      <c r="L28" s="172">
        <v>45482</v>
      </c>
      <c r="M28" s="172">
        <v>45471</v>
      </c>
      <c r="N28" s="172">
        <v>45498</v>
      </c>
      <c r="O28" s="12" t="s">
        <v>1531</v>
      </c>
      <c r="P28" t="s">
        <v>1419</v>
      </c>
      <c r="Q28" t="s">
        <v>1234</v>
      </c>
      <c r="R28" t="s">
        <v>1234</v>
      </c>
      <c r="S28" t="s">
        <v>1475</v>
      </c>
      <c r="T28" t="s">
        <v>1419</v>
      </c>
    </row>
    <row r="29" spans="1:20">
      <c r="A29" s="12" t="s">
        <v>1532</v>
      </c>
      <c r="B29" t="s">
        <v>1533</v>
      </c>
      <c r="C29" t="s">
        <v>1423</v>
      </c>
      <c r="D29" t="s">
        <v>1534</v>
      </c>
      <c r="E29" t="s">
        <v>1414</v>
      </c>
      <c r="F29" t="s">
        <v>1415</v>
      </c>
      <c r="G29" t="s">
        <v>1535</v>
      </c>
      <c r="H29" s="172">
        <v>45656</v>
      </c>
      <c r="I29" t="s">
        <v>1417</v>
      </c>
      <c r="J29" s="172">
        <v>45322</v>
      </c>
      <c r="K29" s="172">
        <v>45322</v>
      </c>
      <c r="L29" s="172">
        <v>45475</v>
      </c>
      <c r="M29" s="172">
        <v>45485</v>
      </c>
      <c r="N29" s="172">
        <v>45499</v>
      </c>
      <c r="O29" s="12" t="s">
        <v>1536</v>
      </c>
      <c r="P29" t="s">
        <v>1419</v>
      </c>
      <c r="Q29" t="s">
        <v>1234</v>
      </c>
      <c r="R29" t="s">
        <v>1234</v>
      </c>
      <c r="S29" t="s">
        <v>1475</v>
      </c>
      <c r="T29" t="s">
        <v>1419</v>
      </c>
    </row>
    <row r="30" spans="1:20">
      <c r="A30" s="12" t="s">
        <v>1537</v>
      </c>
      <c r="B30" t="s">
        <v>1538</v>
      </c>
      <c r="C30" t="s">
        <v>642</v>
      </c>
      <c r="D30" t="s">
        <v>1429</v>
      </c>
      <c r="E30" t="s">
        <v>1414</v>
      </c>
      <c r="F30" t="s">
        <v>1415</v>
      </c>
      <c r="G30" t="s">
        <v>1473</v>
      </c>
      <c r="H30" s="172"/>
      <c r="I30" t="s">
        <v>1435</v>
      </c>
      <c r="J30" s="172">
        <v>45520</v>
      </c>
      <c r="K30" s="172">
        <v>45548</v>
      </c>
      <c r="L30" s="172">
        <v>45541</v>
      </c>
      <c r="M30" s="172">
        <v>45548</v>
      </c>
      <c r="N30" s="172">
        <v>45548</v>
      </c>
      <c r="O30" s="12" t="s">
        <v>1539</v>
      </c>
      <c r="P30" t="s">
        <v>1419</v>
      </c>
      <c r="Q30" t="s">
        <v>1234</v>
      </c>
      <c r="R30" t="s">
        <v>1234</v>
      </c>
      <c r="S30" t="s">
        <v>1475</v>
      </c>
      <c r="T30" t="s">
        <v>1419</v>
      </c>
    </row>
    <row r="31" spans="1:20">
      <c r="A31" s="12" t="s">
        <v>1540</v>
      </c>
      <c r="B31" t="s">
        <v>1541</v>
      </c>
      <c r="C31" t="s">
        <v>786</v>
      </c>
      <c r="D31" t="s">
        <v>1493</v>
      </c>
      <c r="E31" t="s">
        <v>1414</v>
      </c>
      <c r="F31" t="s">
        <v>1415</v>
      </c>
      <c r="G31" t="s">
        <v>1473</v>
      </c>
      <c r="H31" s="172">
        <v>45656</v>
      </c>
      <c r="I31" t="s">
        <v>1417</v>
      </c>
      <c r="J31" s="172">
        <v>45475</v>
      </c>
      <c r="K31" s="172">
        <v>45518</v>
      </c>
      <c r="L31" s="172">
        <v>45518</v>
      </c>
      <c r="M31" s="172">
        <v>45518</v>
      </c>
      <c r="N31" s="172">
        <v>45518</v>
      </c>
      <c r="O31" s="12" t="s">
        <v>1542</v>
      </c>
      <c r="P31" t="s">
        <v>1419</v>
      </c>
      <c r="Q31" t="s">
        <v>1234</v>
      </c>
      <c r="R31" t="s">
        <v>1234</v>
      </c>
      <c r="S31" t="s">
        <v>1475</v>
      </c>
      <c r="T31" t="s">
        <v>1419</v>
      </c>
    </row>
    <row r="32" spans="1:20">
      <c r="A32" s="12" t="s">
        <v>1543</v>
      </c>
      <c r="B32" t="s">
        <v>1544</v>
      </c>
      <c r="C32" t="s">
        <v>1545</v>
      </c>
      <c r="D32" t="s">
        <v>1546</v>
      </c>
      <c r="E32" t="s">
        <v>994</v>
      </c>
      <c r="F32" t="s">
        <v>1415</v>
      </c>
      <c r="G32" t="s">
        <v>1499</v>
      </c>
      <c r="H32" s="172">
        <v>45512</v>
      </c>
      <c r="I32" t="s">
        <v>1435</v>
      </c>
      <c r="J32" s="172">
        <v>45469</v>
      </c>
      <c r="K32" s="172">
        <v>45478</v>
      </c>
      <c r="L32" s="172">
        <v>45526</v>
      </c>
      <c r="M32" s="172">
        <v>45526</v>
      </c>
      <c r="N32" s="172">
        <v>45559</v>
      </c>
      <c r="O32" s="12" t="s">
        <v>1547</v>
      </c>
      <c r="P32" t="s">
        <v>1419</v>
      </c>
      <c r="Q32" t="s">
        <v>1234</v>
      </c>
      <c r="R32" t="s">
        <v>1234</v>
      </c>
      <c r="S32" t="s">
        <v>1475</v>
      </c>
      <c r="T32" t="s">
        <v>1419</v>
      </c>
    </row>
    <row r="33" spans="1:20">
      <c r="A33" s="12" t="s">
        <v>1548</v>
      </c>
      <c r="B33" t="s">
        <v>1549</v>
      </c>
      <c r="C33" t="s">
        <v>642</v>
      </c>
      <c r="D33" t="s">
        <v>1429</v>
      </c>
      <c r="E33" t="s">
        <v>994</v>
      </c>
      <c r="F33" t="s">
        <v>1415</v>
      </c>
      <c r="G33" t="s">
        <v>1506</v>
      </c>
      <c r="H33" s="172">
        <v>45656</v>
      </c>
      <c r="I33" t="s">
        <v>1435</v>
      </c>
      <c r="J33" s="172">
        <v>45391</v>
      </c>
      <c r="K33" s="172">
        <v>45413</v>
      </c>
      <c r="L33" s="172">
        <v>45413</v>
      </c>
      <c r="M33" s="172">
        <v>45429</v>
      </c>
      <c r="N33" s="172">
        <v>45510</v>
      </c>
      <c r="O33" s="12" t="s">
        <v>1550</v>
      </c>
      <c r="P33" t="s">
        <v>1419</v>
      </c>
      <c r="Q33" t="s">
        <v>1234</v>
      </c>
      <c r="R33" t="s">
        <v>1234</v>
      </c>
      <c r="S33" t="s">
        <v>1475</v>
      </c>
      <c r="T33" t="s">
        <v>1419</v>
      </c>
    </row>
    <row r="34" spans="1:20">
      <c r="A34" s="12" t="s">
        <v>1551</v>
      </c>
      <c r="B34" t="s">
        <v>1552</v>
      </c>
      <c r="C34" t="s">
        <v>642</v>
      </c>
      <c r="D34" t="s">
        <v>1429</v>
      </c>
      <c r="E34" t="s">
        <v>994</v>
      </c>
      <c r="F34" t="s">
        <v>1415</v>
      </c>
      <c r="G34" t="s">
        <v>1473</v>
      </c>
      <c r="H34" s="172">
        <v>45656</v>
      </c>
      <c r="I34" t="s">
        <v>1435</v>
      </c>
      <c r="J34" s="172">
        <v>45474</v>
      </c>
      <c r="K34" s="172">
        <v>45506</v>
      </c>
      <c r="L34" s="172">
        <v>45504</v>
      </c>
      <c r="M34" s="172">
        <v>45506</v>
      </c>
      <c r="N34" s="172">
        <v>45515</v>
      </c>
      <c r="O34" s="12" t="s">
        <v>1553</v>
      </c>
      <c r="P34" t="s">
        <v>1419</v>
      </c>
      <c r="Q34" t="s">
        <v>1234</v>
      </c>
      <c r="R34" t="s">
        <v>1234</v>
      </c>
      <c r="S34" t="s">
        <v>1475</v>
      </c>
      <c r="T34" t="s">
        <v>1419</v>
      </c>
    </row>
    <row r="35" spans="1:20">
      <c r="A35" s="12" t="s">
        <v>1293</v>
      </c>
      <c r="B35" t="s">
        <v>1554</v>
      </c>
      <c r="C35" t="s">
        <v>1521</v>
      </c>
      <c r="D35" t="s">
        <v>1522</v>
      </c>
      <c r="E35" t="s">
        <v>994</v>
      </c>
      <c r="F35" t="s">
        <v>1415</v>
      </c>
      <c r="G35" t="s">
        <v>1555</v>
      </c>
      <c r="H35" s="172">
        <v>45656</v>
      </c>
      <c r="I35" t="s">
        <v>1417</v>
      </c>
      <c r="J35" s="172">
        <v>45464</v>
      </c>
      <c r="K35" s="172">
        <v>45469</v>
      </c>
      <c r="L35" s="172">
        <v>45464</v>
      </c>
      <c r="M35" s="172">
        <v>45492</v>
      </c>
      <c r="N35" s="172">
        <v>45498</v>
      </c>
      <c r="O35" s="12" t="s">
        <v>1556</v>
      </c>
      <c r="P35" t="s">
        <v>1419</v>
      </c>
      <c r="Q35" t="s">
        <v>1234</v>
      </c>
      <c r="R35" t="s">
        <v>1234</v>
      </c>
      <c r="S35" t="s">
        <v>1475</v>
      </c>
      <c r="T35" t="s">
        <v>1419</v>
      </c>
    </row>
    <row r="36" spans="1:20">
      <c r="A36" s="12" t="s">
        <v>1557</v>
      </c>
      <c r="B36" t="s">
        <v>1558</v>
      </c>
      <c r="C36" t="s">
        <v>642</v>
      </c>
      <c r="D36" t="s">
        <v>1429</v>
      </c>
      <c r="E36" t="s">
        <v>1414</v>
      </c>
      <c r="F36" t="s">
        <v>1415</v>
      </c>
      <c r="G36" t="s">
        <v>1434</v>
      </c>
      <c r="H36" s="172">
        <v>45656</v>
      </c>
      <c r="I36" t="s">
        <v>1417</v>
      </c>
      <c r="J36" s="172">
        <v>45455</v>
      </c>
      <c r="K36" s="172">
        <v>45455</v>
      </c>
      <c r="L36" s="172">
        <v>45455</v>
      </c>
      <c r="M36" s="172">
        <v>45442</v>
      </c>
      <c r="N36" s="172">
        <v>45512</v>
      </c>
      <c r="O36" s="12" t="s">
        <v>1559</v>
      </c>
      <c r="P36" t="s">
        <v>1419</v>
      </c>
      <c r="Q36" t="s">
        <v>1234</v>
      </c>
      <c r="R36" t="s">
        <v>1234</v>
      </c>
      <c r="S36" t="s">
        <v>1475</v>
      </c>
      <c r="T36" t="s">
        <v>1419</v>
      </c>
    </row>
    <row r="37" spans="1:20">
      <c r="A37" s="12" t="s">
        <v>1560</v>
      </c>
      <c r="B37" t="s">
        <v>1561</v>
      </c>
      <c r="C37" t="s">
        <v>642</v>
      </c>
      <c r="D37" t="s">
        <v>1429</v>
      </c>
      <c r="E37" t="s">
        <v>1483</v>
      </c>
      <c r="F37" t="s">
        <v>1415</v>
      </c>
      <c r="G37" t="s">
        <v>1434</v>
      </c>
      <c r="H37" s="172"/>
      <c r="I37" t="s">
        <v>1435</v>
      </c>
      <c r="J37" s="172">
        <v>45526</v>
      </c>
      <c r="K37" s="172">
        <v>45541</v>
      </c>
      <c r="L37" s="172">
        <v>45541</v>
      </c>
      <c r="M37" s="172">
        <v>45541</v>
      </c>
      <c r="N37" s="172">
        <v>45541</v>
      </c>
      <c r="O37" s="12" t="s">
        <v>618</v>
      </c>
      <c r="P37" t="s">
        <v>1419</v>
      </c>
      <c r="Q37" t="s">
        <v>1234</v>
      </c>
      <c r="R37" t="s">
        <v>1234</v>
      </c>
      <c r="S37" t="s">
        <v>1475</v>
      </c>
      <c r="T37" t="s">
        <v>1419</v>
      </c>
    </row>
    <row r="38" spans="1:20">
      <c r="A38" s="12" t="s">
        <v>1277</v>
      </c>
      <c r="B38" t="s">
        <v>1562</v>
      </c>
      <c r="C38" t="s">
        <v>642</v>
      </c>
      <c r="D38" t="s">
        <v>1429</v>
      </c>
      <c r="E38" t="s">
        <v>994</v>
      </c>
      <c r="F38" t="s">
        <v>1419</v>
      </c>
      <c r="G38" t="s">
        <v>1419</v>
      </c>
      <c r="H38" s="172"/>
      <c r="I38" t="s">
        <v>1417</v>
      </c>
      <c r="J38" s="172">
        <v>45068</v>
      </c>
      <c r="K38" s="172">
        <v>45394</v>
      </c>
      <c r="L38" s="172">
        <v>45266</v>
      </c>
      <c r="M38" s="172">
        <v>45429</v>
      </c>
      <c r="N38" s="172">
        <v>45449</v>
      </c>
      <c r="O38" s="12" t="s">
        <v>1563</v>
      </c>
      <c r="P38" t="s">
        <v>1419</v>
      </c>
      <c r="Q38" t="s">
        <v>1234</v>
      </c>
      <c r="R38" t="s">
        <v>1234</v>
      </c>
      <c r="S38" t="s">
        <v>1475</v>
      </c>
      <c r="T38" t="s">
        <v>1419</v>
      </c>
    </row>
    <row r="39" spans="1:20">
      <c r="A39" s="12" t="s">
        <v>1564</v>
      </c>
      <c r="B39" t="s">
        <v>1565</v>
      </c>
      <c r="C39" t="s">
        <v>642</v>
      </c>
      <c r="D39" t="s">
        <v>1429</v>
      </c>
      <c r="E39" t="s">
        <v>1414</v>
      </c>
      <c r="F39" t="s">
        <v>1415</v>
      </c>
      <c r="G39" t="s">
        <v>1425</v>
      </c>
      <c r="H39" s="172"/>
      <c r="I39" t="s">
        <v>1435</v>
      </c>
      <c r="J39" s="172">
        <v>45415</v>
      </c>
      <c r="K39" s="172">
        <v>45520</v>
      </c>
      <c r="L39" s="172">
        <v>45520</v>
      </c>
      <c r="M39" s="172">
        <v>45513</v>
      </c>
      <c r="N39" s="172">
        <v>45513</v>
      </c>
      <c r="O39" s="12" t="s">
        <v>1566</v>
      </c>
      <c r="P39" t="s">
        <v>1419</v>
      </c>
      <c r="Q39" t="s">
        <v>1234</v>
      </c>
      <c r="R39" t="s">
        <v>1234</v>
      </c>
      <c r="S39" t="s">
        <v>1567</v>
      </c>
      <c r="T39" t="s">
        <v>1419</v>
      </c>
    </row>
    <row r="40" spans="1:20">
      <c r="A40" s="12" t="s">
        <v>1568</v>
      </c>
      <c r="B40" t="s">
        <v>1569</v>
      </c>
      <c r="C40" t="s">
        <v>1521</v>
      </c>
      <c r="D40" t="s">
        <v>1570</v>
      </c>
      <c r="E40" t="s">
        <v>994</v>
      </c>
      <c r="F40" t="s">
        <v>1415</v>
      </c>
      <c r="G40" t="s">
        <v>1473</v>
      </c>
      <c r="H40" s="172"/>
      <c r="I40" t="s">
        <v>1571</v>
      </c>
      <c r="J40" s="172">
        <v>45268</v>
      </c>
      <c r="K40" s="172">
        <v>45268</v>
      </c>
      <c r="L40" s="172">
        <v>45366</v>
      </c>
      <c r="M40" s="172">
        <v>45513</v>
      </c>
      <c r="N40" s="172">
        <v>45516</v>
      </c>
      <c r="O40" s="12" t="s">
        <v>1572</v>
      </c>
      <c r="P40" t="s">
        <v>1419</v>
      </c>
      <c r="Q40" t="s">
        <v>1234</v>
      </c>
      <c r="R40" t="s">
        <v>1234</v>
      </c>
      <c r="S40" t="s">
        <v>1567</v>
      </c>
      <c r="T40" t="s">
        <v>1419</v>
      </c>
    </row>
    <row r="41" spans="1:20">
      <c r="A41" s="12" t="s">
        <v>1573</v>
      </c>
      <c r="B41" t="s">
        <v>1574</v>
      </c>
      <c r="C41" t="s">
        <v>1487</v>
      </c>
      <c r="D41" t="s">
        <v>1488</v>
      </c>
      <c r="E41" t="s">
        <v>994</v>
      </c>
      <c r="F41" t="s">
        <v>1415</v>
      </c>
      <c r="G41" t="s">
        <v>1575</v>
      </c>
      <c r="H41" s="172"/>
      <c r="I41" t="s">
        <v>1417</v>
      </c>
      <c r="J41" s="172">
        <v>45362</v>
      </c>
      <c r="K41" s="172">
        <v>45369</v>
      </c>
      <c r="L41" s="172">
        <v>45369</v>
      </c>
      <c r="M41" s="172">
        <v>45369</v>
      </c>
      <c r="N41" s="172">
        <v>45478</v>
      </c>
      <c r="O41" s="12" t="s">
        <v>1576</v>
      </c>
      <c r="P41" t="s">
        <v>1419</v>
      </c>
      <c r="Q41" t="s">
        <v>1234</v>
      </c>
      <c r="R41" t="s">
        <v>1234</v>
      </c>
      <c r="S41" t="s">
        <v>1567</v>
      </c>
      <c r="T41" t="s">
        <v>1419</v>
      </c>
    </row>
    <row r="42" spans="1:20">
      <c r="A42" s="12" t="s">
        <v>1577</v>
      </c>
      <c r="B42" t="s">
        <v>1578</v>
      </c>
      <c r="C42" t="s">
        <v>1423</v>
      </c>
      <c r="D42" t="s">
        <v>1424</v>
      </c>
      <c r="E42" t="s">
        <v>1414</v>
      </c>
      <c r="F42" t="s">
        <v>1415</v>
      </c>
      <c r="G42" t="s">
        <v>1499</v>
      </c>
      <c r="H42" s="172"/>
      <c r="I42" t="s">
        <v>1435</v>
      </c>
      <c r="J42" s="172">
        <v>45300</v>
      </c>
      <c r="K42" s="172">
        <v>45301</v>
      </c>
      <c r="L42" s="172">
        <v>45359</v>
      </c>
      <c r="M42" s="172">
        <v>45380</v>
      </c>
      <c r="N42" s="172">
        <v>45464</v>
      </c>
      <c r="O42" s="12" t="s">
        <v>618</v>
      </c>
      <c r="P42" t="s">
        <v>1419</v>
      </c>
      <c r="Q42" t="s">
        <v>1234</v>
      </c>
      <c r="R42" t="s">
        <v>1234</v>
      </c>
      <c r="S42" t="s">
        <v>1567</v>
      </c>
      <c r="T42" t="s">
        <v>1419</v>
      </c>
    </row>
    <row r="43" spans="1:20">
      <c r="A43" s="12" t="s">
        <v>1579</v>
      </c>
      <c r="B43" t="s">
        <v>1580</v>
      </c>
      <c r="C43" t="s">
        <v>786</v>
      </c>
      <c r="D43" t="s">
        <v>1493</v>
      </c>
      <c r="E43" t="s">
        <v>1483</v>
      </c>
      <c r="F43" t="s">
        <v>1415</v>
      </c>
      <c r="G43" t="s">
        <v>1473</v>
      </c>
      <c r="H43" s="172"/>
      <c r="I43" t="s">
        <v>1435</v>
      </c>
      <c r="J43" s="172">
        <v>45505</v>
      </c>
      <c r="K43" s="172">
        <v>45505</v>
      </c>
      <c r="L43" s="172">
        <v>45512</v>
      </c>
      <c r="M43" s="172">
        <v>45539</v>
      </c>
      <c r="N43" s="172">
        <v>45539</v>
      </c>
      <c r="O43" s="12" t="s">
        <v>1581</v>
      </c>
      <c r="P43" t="s">
        <v>1419</v>
      </c>
      <c r="Q43" t="s">
        <v>1234</v>
      </c>
      <c r="R43" t="s">
        <v>1234</v>
      </c>
      <c r="S43" t="s">
        <v>1567</v>
      </c>
      <c r="T43" t="s">
        <v>1419</v>
      </c>
    </row>
    <row r="44" spans="1:20">
      <c r="A44" s="12" t="s">
        <v>1582</v>
      </c>
      <c r="B44" t="s">
        <v>1583</v>
      </c>
      <c r="C44" t="s">
        <v>642</v>
      </c>
      <c r="D44" t="s">
        <v>1429</v>
      </c>
      <c r="E44" t="s">
        <v>1414</v>
      </c>
      <c r="F44" t="s">
        <v>1415</v>
      </c>
      <c r="G44" t="s">
        <v>1506</v>
      </c>
      <c r="H44" s="172"/>
      <c r="I44" t="s">
        <v>1435</v>
      </c>
      <c r="J44" s="172">
        <v>45420</v>
      </c>
      <c r="K44" s="172">
        <v>45429</v>
      </c>
      <c r="L44" s="172">
        <v>45448</v>
      </c>
      <c r="M44" s="172">
        <v>45478</v>
      </c>
      <c r="N44" s="172">
        <v>45498</v>
      </c>
      <c r="O44" s="12" t="s">
        <v>1584</v>
      </c>
      <c r="P44" t="s">
        <v>1419</v>
      </c>
      <c r="Q44" t="s">
        <v>1234</v>
      </c>
      <c r="R44" t="s">
        <v>1234</v>
      </c>
      <c r="S44" t="s">
        <v>1567</v>
      </c>
      <c r="T44" t="s">
        <v>1419</v>
      </c>
    </row>
    <row r="45" spans="1:20">
      <c r="A45" s="12" t="s">
        <v>1585</v>
      </c>
      <c r="B45" t="s">
        <v>1586</v>
      </c>
      <c r="C45" t="s">
        <v>1587</v>
      </c>
      <c r="D45" t="s">
        <v>1588</v>
      </c>
      <c r="E45" t="s">
        <v>1414</v>
      </c>
      <c r="F45" t="s">
        <v>1415</v>
      </c>
      <c r="G45" t="s">
        <v>1473</v>
      </c>
      <c r="H45" s="172"/>
      <c r="I45" t="s">
        <v>1571</v>
      </c>
      <c r="J45" s="172">
        <v>45363</v>
      </c>
      <c r="K45" s="172">
        <v>45363</v>
      </c>
      <c r="L45" s="172">
        <v>45363</v>
      </c>
      <c r="M45" s="172">
        <v>45394</v>
      </c>
      <c r="N45" s="172">
        <v>45531</v>
      </c>
      <c r="O45" s="12" t="s">
        <v>1553</v>
      </c>
      <c r="P45" t="s">
        <v>1419</v>
      </c>
      <c r="Q45" t="s">
        <v>1234</v>
      </c>
      <c r="R45" t="s">
        <v>1234</v>
      </c>
      <c r="S45" t="s">
        <v>1589</v>
      </c>
      <c r="T45" t="s">
        <v>1419</v>
      </c>
    </row>
    <row r="46" spans="1:20">
      <c r="A46" s="12" t="s">
        <v>1590</v>
      </c>
      <c r="B46" t="s">
        <v>1591</v>
      </c>
      <c r="C46" t="s">
        <v>1592</v>
      </c>
      <c r="D46" t="s">
        <v>1593</v>
      </c>
      <c r="E46" t="s">
        <v>1414</v>
      </c>
      <c r="F46" t="s">
        <v>1415</v>
      </c>
      <c r="G46" t="s">
        <v>1473</v>
      </c>
      <c r="H46" s="172"/>
      <c r="I46" t="s">
        <v>1417</v>
      </c>
      <c r="J46" s="172">
        <v>45506</v>
      </c>
      <c r="K46" s="172">
        <v>45510</v>
      </c>
      <c r="L46" s="172">
        <v>45510</v>
      </c>
      <c r="M46" s="172">
        <v>45510</v>
      </c>
      <c r="N46" s="172">
        <v>45510</v>
      </c>
      <c r="O46" s="12" t="s">
        <v>618</v>
      </c>
      <c r="P46" t="s">
        <v>1419</v>
      </c>
      <c r="Q46" t="s">
        <v>1234</v>
      </c>
      <c r="R46" t="s">
        <v>1234</v>
      </c>
      <c r="S46" t="s">
        <v>1589</v>
      </c>
      <c r="T46" t="s">
        <v>1419</v>
      </c>
    </row>
    <row r="47" spans="1:20">
      <c r="A47" s="12" t="s">
        <v>1594</v>
      </c>
      <c r="B47" t="s">
        <v>1595</v>
      </c>
      <c r="C47" t="s">
        <v>642</v>
      </c>
      <c r="D47" t="s">
        <v>1429</v>
      </c>
      <c r="E47" t="s">
        <v>994</v>
      </c>
      <c r="F47" t="s">
        <v>1415</v>
      </c>
      <c r="G47" t="s">
        <v>1489</v>
      </c>
      <c r="H47" s="172"/>
      <c r="I47" t="s">
        <v>1435</v>
      </c>
      <c r="J47" s="172">
        <v>45261</v>
      </c>
      <c r="K47" s="172">
        <v>45268</v>
      </c>
      <c r="L47" s="172">
        <v>45275</v>
      </c>
      <c r="M47" s="172">
        <v>45345</v>
      </c>
      <c r="N47" s="172">
        <v>45527</v>
      </c>
      <c r="O47" s="12" t="s">
        <v>1596</v>
      </c>
      <c r="P47" t="s">
        <v>1419</v>
      </c>
      <c r="Q47" t="s">
        <v>1234</v>
      </c>
      <c r="R47" t="s">
        <v>1234</v>
      </c>
      <c r="S47" t="s">
        <v>1589</v>
      </c>
      <c r="T47" t="s">
        <v>1419</v>
      </c>
    </row>
    <row r="48" spans="1:20">
      <c r="A48" s="12" t="s">
        <v>1296</v>
      </c>
      <c r="B48" t="s">
        <v>1597</v>
      </c>
      <c r="C48" t="s">
        <v>1497</v>
      </c>
      <c r="D48" t="s">
        <v>1498</v>
      </c>
      <c r="E48" t="s">
        <v>994</v>
      </c>
      <c r="F48" t="s">
        <v>1415</v>
      </c>
      <c r="G48" t="s">
        <v>1425</v>
      </c>
      <c r="H48" s="172"/>
      <c r="I48" t="s">
        <v>1435</v>
      </c>
      <c r="J48" s="172">
        <v>45491</v>
      </c>
      <c r="K48" s="172">
        <v>45491</v>
      </c>
      <c r="L48" s="172">
        <v>45498</v>
      </c>
      <c r="M48" s="172">
        <v>45524</v>
      </c>
      <c r="N48" s="172">
        <v>45532</v>
      </c>
      <c r="O48" s="12" t="s">
        <v>1598</v>
      </c>
      <c r="P48" t="s">
        <v>1419</v>
      </c>
      <c r="Q48" t="s">
        <v>1234</v>
      </c>
      <c r="R48" t="s">
        <v>1234</v>
      </c>
      <c r="S48" t="s">
        <v>1589</v>
      </c>
      <c r="T48" t="s">
        <v>1419</v>
      </c>
    </row>
    <row r="49" spans="1:20">
      <c r="A49" s="12" t="s">
        <v>1307</v>
      </c>
      <c r="B49" t="s">
        <v>1599</v>
      </c>
      <c r="C49" t="s">
        <v>1545</v>
      </c>
      <c r="D49" t="s">
        <v>1600</v>
      </c>
      <c r="E49" t="s">
        <v>1414</v>
      </c>
      <c r="F49" t="s">
        <v>1415</v>
      </c>
      <c r="G49" t="s">
        <v>1506</v>
      </c>
      <c r="H49" s="172">
        <v>45534</v>
      </c>
      <c r="I49" t="s">
        <v>1571</v>
      </c>
      <c r="J49" s="172">
        <v>45148</v>
      </c>
      <c r="K49" s="172">
        <v>45148</v>
      </c>
      <c r="L49" s="172">
        <v>45148</v>
      </c>
      <c r="M49" s="172">
        <v>45509</v>
      </c>
      <c r="N49" s="172">
        <v>45597</v>
      </c>
      <c r="O49" s="12" t="s">
        <v>1601</v>
      </c>
      <c r="P49" t="s">
        <v>1419</v>
      </c>
      <c r="Q49" t="s">
        <v>1234</v>
      </c>
      <c r="R49" t="s">
        <v>1234</v>
      </c>
      <c r="S49" t="s">
        <v>1589</v>
      </c>
      <c r="T49" t="s">
        <v>1419</v>
      </c>
    </row>
    <row r="50" spans="1:20">
      <c r="A50" s="12" t="s">
        <v>1602</v>
      </c>
      <c r="B50" t="s">
        <v>1603</v>
      </c>
      <c r="C50" t="s">
        <v>642</v>
      </c>
      <c r="D50" t="s">
        <v>1429</v>
      </c>
      <c r="E50" t="s">
        <v>1414</v>
      </c>
      <c r="F50" t="s">
        <v>1415</v>
      </c>
      <c r="G50" t="s">
        <v>1604</v>
      </c>
      <c r="H50" s="172"/>
      <c r="I50" t="s">
        <v>1417</v>
      </c>
      <c r="J50" s="172">
        <v>45448</v>
      </c>
      <c r="K50" s="172">
        <v>45484</v>
      </c>
      <c r="L50" s="172">
        <v>45484</v>
      </c>
      <c r="M50" s="172">
        <v>45534</v>
      </c>
      <c r="N50" s="172">
        <v>45540</v>
      </c>
      <c r="O50" s="12" t="s">
        <v>1605</v>
      </c>
      <c r="P50" t="s">
        <v>1419</v>
      </c>
      <c r="Q50" t="s">
        <v>1234</v>
      </c>
      <c r="R50" t="s">
        <v>1234</v>
      </c>
      <c r="S50" t="s">
        <v>1606</v>
      </c>
      <c r="T50" t="s">
        <v>1419</v>
      </c>
    </row>
    <row r="51" spans="1:20">
      <c r="A51" s="12" t="s">
        <v>1175</v>
      </c>
      <c r="B51" t="s">
        <v>1607</v>
      </c>
      <c r="C51" t="s">
        <v>642</v>
      </c>
      <c r="D51" t="s">
        <v>1429</v>
      </c>
      <c r="E51" t="s">
        <v>994</v>
      </c>
      <c r="F51" t="s">
        <v>1415</v>
      </c>
      <c r="G51" t="s">
        <v>1506</v>
      </c>
      <c r="H51" s="172"/>
      <c r="I51" t="s">
        <v>1417</v>
      </c>
      <c r="J51" s="172">
        <v>45481</v>
      </c>
      <c r="K51" s="172">
        <v>45520</v>
      </c>
      <c r="L51" s="172">
        <v>45520</v>
      </c>
      <c r="M51" s="172">
        <v>45534</v>
      </c>
      <c r="N51" s="172">
        <v>45540</v>
      </c>
      <c r="O51" s="12" t="s">
        <v>1608</v>
      </c>
      <c r="P51" t="s">
        <v>1419</v>
      </c>
      <c r="Q51" t="s">
        <v>1234</v>
      </c>
      <c r="R51" t="s">
        <v>1234</v>
      </c>
      <c r="S51" t="s">
        <v>1606</v>
      </c>
      <c r="T51" t="s">
        <v>1419</v>
      </c>
    </row>
    <row r="52" spans="1:20">
      <c r="A52" s="12" t="s">
        <v>1609</v>
      </c>
      <c r="B52" t="s">
        <v>1610</v>
      </c>
      <c r="C52" t="s">
        <v>642</v>
      </c>
      <c r="D52" t="s">
        <v>1429</v>
      </c>
      <c r="E52" t="s">
        <v>1414</v>
      </c>
      <c r="F52" t="s">
        <v>1415</v>
      </c>
      <c r="G52" t="s">
        <v>1499</v>
      </c>
      <c r="H52" s="172"/>
      <c r="I52" t="s">
        <v>1417</v>
      </c>
      <c r="J52" s="172">
        <v>45551</v>
      </c>
      <c r="K52" s="172">
        <v>45551</v>
      </c>
      <c r="L52" s="172">
        <v>45551</v>
      </c>
      <c r="M52" s="172">
        <v>45572</v>
      </c>
      <c r="N52" s="172">
        <v>45540</v>
      </c>
      <c r="O52" s="12" t="s">
        <v>1611</v>
      </c>
      <c r="P52" t="s">
        <v>1419</v>
      </c>
      <c r="Q52" t="s">
        <v>1234</v>
      </c>
      <c r="R52" t="s">
        <v>1234</v>
      </c>
      <c r="S52" t="s">
        <v>1606</v>
      </c>
      <c r="T52" t="s">
        <v>1419</v>
      </c>
    </row>
    <row r="53" spans="1:20">
      <c r="A53" s="12" t="s">
        <v>1256</v>
      </c>
      <c r="B53" t="s">
        <v>1612</v>
      </c>
      <c r="C53" t="s">
        <v>642</v>
      </c>
      <c r="D53" t="s">
        <v>1429</v>
      </c>
      <c r="E53" t="s">
        <v>994</v>
      </c>
      <c r="F53" t="s">
        <v>1415</v>
      </c>
      <c r="G53" t="s">
        <v>1489</v>
      </c>
      <c r="H53" s="172"/>
      <c r="I53" t="s">
        <v>1435</v>
      </c>
      <c r="J53" s="172">
        <v>45448</v>
      </c>
      <c r="K53" s="172">
        <v>45448</v>
      </c>
      <c r="L53" s="172">
        <v>45492</v>
      </c>
      <c r="M53" s="172">
        <v>45527</v>
      </c>
      <c r="N53" s="172">
        <v>45541</v>
      </c>
      <c r="O53" s="12" t="s">
        <v>1613</v>
      </c>
      <c r="P53" t="s">
        <v>1419</v>
      </c>
      <c r="Q53" t="s">
        <v>1234</v>
      </c>
      <c r="R53" t="s">
        <v>1234</v>
      </c>
      <c r="S53" t="s">
        <v>1606</v>
      </c>
      <c r="T53" t="s">
        <v>1419</v>
      </c>
    </row>
    <row r="54" spans="1:20">
      <c r="A54" s="12" t="s">
        <v>1614</v>
      </c>
      <c r="B54" t="s">
        <v>1615</v>
      </c>
      <c r="C54" t="s">
        <v>1497</v>
      </c>
      <c r="D54" t="s">
        <v>1498</v>
      </c>
      <c r="E54" t="s">
        <v>994</v>
      </c>
      <c r="F54" t="s">
        <v>1415</v>
      </c>
      <c r="G54" t="s">
        <v>1473</v>
      </c>
      <c r="H54" s="172"/>
      <c r="I54" t="s">
        <v>1435</v>
      </c>
      <c r="J54" s="172">
        <v>45457</v>
      </c>
      <c r="K54" s="172">
        <v>45457</v>
      </c>
      <c r="L54" s="172">
        <v>45457</v>
      </c>
      <c r="M54" s="172">
        <v>45526</v>
      </c>
      <c r="N54" s="172">
        <v>45538</v>
      </c>
      <c r="O54" s="12" t="s">
        <v>1616</v>
      </c>
      <c r="P54" t="s">
        <v>1419</v>
      </c>
      <c r="Q54" t="s">
        <v>1234</v>
      </c>
      <c r="R54" t="s">
        <v>1234</v>
      </c>
      <c r="S54" t="s">
        <v>1606</v>
      </c>
      <c r="T54" t="s">
        <v>1419</v>
      </c>
    </row>
    <row r="55" spans="1:20">
      <c r="A55" s="12" t="s">
        <v>1617</v>
      </c>
      <c r="B55" t="s">
        <v>1618</v>
      </c>
      <c r="C55" t="s">
        <v>1423</v>
      </c>
      <c r="D55" t="s">
        <v>1424</v>
      </c>
      <c r="E55" t="s">
        <v>1483</v>
      </c>
      <c r="F55" t="s">
        <v>1415</v>
      </c>
      <c r="G55" t="s">
        <v>1619</v>
      </c>
      <c r="H55" s="172"/>
      <c r="I55" t="s">
        <v>1435</v>
      </c>
      <c r="J55" s="172">
        <v>45467</v>
      </c>
      <c r="K55" s="172">
        <v>45467</v>
      </c>
      <c r="L55" s="172">
        <v>45496</v>
      </c>
      <c r="M55" s="172">
        <v>45510</v>
      </c>
      <c r="N55" s="172"/>
      <c r="O55" s="12" t="s">
        <v>1620</v>
      </c>
      <c r="P55" t="s">
        <v>1419</v>
      </c>
      <c r="Q55" t="s">
        <v>1234</v>
      </c>
      <c r="R55" t="s">
        <v>994</v>
      </c>
      <c r="S55" t="s">
        <v>1606</v>
      </c>
      <c r="T55" t="s">
        <v>1419</v>
      </c>
    </row>
    <row r="56" spans="1:20">
      <c r="A56" s="12" t="s">
        <v>1171</v>
      </c>
      <c r="B56" t="s">
        <v>1621</v>
      </c>
      <c r="C56" t="s">
        <v>1622</v>
      </c>
      <c r="D56" t="s">
        <v>1623</v>
      </c>
      <c r="E56" t="s">
        <v>994</v>
      </c>
      <c r="F56" t="s">
        <v>1415</v>
      </c>
      <c r="G56" t="s">
        <v>1506</v>
      </c>
      <c r="H56" s="172"/>
      <c r="I56" t="s">
        <v>1435</v>
      </c>
      <c r="J56" s="172">
        <v>45502</v>
      </c>
      <c r="K56" s="172">
        <v>45530</v>
      </c>
      <c r="L56" s="172">
        <v>45537</v>
      </c>
      <c r="M56" s="172">
        <v>45530</v>
      </c>
      <c r="N56" s="172">
        <v>45540</v>
      </c>
      <c r="O56" s="12" t="s">
        <v>1624</v>
      </c>
      <c r="P56" t="s">
        <v>1419</v>
      </c>
      <c r="Q56" t="s">
        <v>1234</v>
      </c>
      <c r="R56" t="s">
        <v>1234</v>
      </c>
      <c r="S56" t="s">
        <v>1606</v>
      </c>
      <c r="T56" t="s">
        <v>1419</v>
      </c>
    </row>
    <row r="57" spans="1:20">
      <c r="A57" s="12" t="s">
        <v>1625</v>
      </c>
      <c r="B57" t="s">
        <v>1626</v>
      </c>
      <c r="C57" t="s">
        <v>642</v>
      </c>
      <c r="D57" t="s">
        <v>1429</v>
      </c>
      <c r="E57" t="s">
        <v>1414</v>
      </c>
      <c r="F57" t="s">
        <v>1415</v>
      </c>
      <c r="G57" t="s">
        <v>1506</v>
      </c>
      <c r="H57" s="172"/>
      <c r="I57" t="s">
        <v>1435</v>
      </c>
      <c r="J57" s="172">
        <v>45412</v>
      </c>
      <c r="K57" s="172">
        <v>45427</v>
      </c>
      <c r="L57" s="172">
        <v>45504</v>
      </c>
      <c r="M57" s="172">
        <v>45534</v>
      </c>
      <c r="N57" s="172">
        <v>45540</v>
      </c>
      <c r="O57" s="12" t="s">
        <v>1627</v>
      </c>
      <c r="P57" t="s">
        <v>1419</v>
      </c>
      <c r="Q57" t="s">
        <v>1234</v>
      </c>
      <c r="R57" t="s">
        <v>1234</v>
      </c>
      <c r="S57" t="s">
        <v>1606</v>
      </c>
      <c r="T57" t="s">
        <v>1419</v>
      </c>
    </row>
    <row r="58" spans="1:20">
      <c r="A58" s="12" t="s">
        <v>1628</v>
      </c>
      <c r="B58" t="s">
        <v>1629</v>
      </c>
      <c r="C58" t="s">
        <v>1487</v>
      </c>
      <c r="D58" t="s">
        <v>1488</v>
      </c>
      <c r="E58" t="s">
        <v>994</v>
      </c>
      <c r="F58" t="s">
        <v>1415</v>
      </c>
      <c r="G58" t="s">
        <v>1506</v>
      </c>
      <c r="H58" s="172"/>
      <c r="I58" t="s">
        <v>1417</v>
      </c>
      <c r="J58" s="172">
        <v>45414</v>
      </c>
      <c r="K58" s="172">
        <v>45414</v>
      </c>
      <c r="L58" s="172">
        <v>45681</v>
      </c>
      <c r="M58" s="172"/>
      <c r="N58" s="172"/>
      <c r="O58" s="12" t="s">
        <v>1630</v>
      </c>
      <c r="P58" t="s">
        <v>1419</v>
      </c>
      <c r="Q58" t="s">
        <v>1453</v>
      </c>
      <c r="R58" t="s">
        <v>1234</v>
      </c>
      <c r="S58" t="s">
        <v>1606</v>
      </c>
      <c r="T58" t="s">
        <v>1419</v>
      </c>
    </row>
    <row r="59" spans="1:20">
      <c r="A59" s="12" t="s">
        <v>1631</v>
      </c>
      <c r="B59" t="s">
        <v>1632</v>
      </c>
      <c r="C59" t="s">
        <v>1633</v>
      </c>
      <c r="D59" t="s">
        <v>1634</v>
      </c>
      <c r="E59" t="s">
        <v>994</v>
      </c>
      <c r="F59" t="s">
        <v>1415</v>
      </c>
      <c r="G59" t="s">
        <v>1499</v>
      </c>
      <c r="H59" s="172"/>
      <c r="I59" t="s">
        <v>1435</v>
      </c>
      <c r="J59" s="172">
        <v>45460</v>
      </c>
      <c r="K59" s="172">
        <v>45460</v>
      </c>
      <c r="L59" s="172">
        <v>45539</v>
      </c>
      <c r="M59" s="172">
        <v>45539</v>
      </c>
      <c r="N59" s="172">
        <v>45539</v>
      </c>
      <c r="O59" s="12" t="s">
        <v>1635</v>
      </c>
      <c r="P59" t="s">
        <v>1419</v>
      </c>
      <c r="Q59" t="s">
        <v>1234</v>
      </c>
      <c r="R59" t="s">
        <v>1234</v>
      </c>
      <c r="S59" t="s">
        <v>1606</v>
      </c>
      <c r="T59" t="s">
        <v>1419</v>
      </c>
    </row>
    <row r="60" spans="1:20">
      <c r="A60" s="12" t="s">
        <v>1335</v>
      </c>
      <c r="B60" t="s">
        <v>1636</v>
      </c>
      <c r="C60" t="s">
        <v>458</v>
      </c>
      <c r="D60" t="s">
        <v>1637</v>
      </c>
      <c r="E60" t="s">
        <v>994</v>
      </c>
      <c r="F60" t="s">
        <v>1415</v>
      </c>
      <c r="G60" t="s">
        <v>1506</v>
      </c>
      <c r="H60" s="172"/>
      <c r="I60" t="s">
        <v>1417</v>
      </c>
      <c r="J60" s="172">
        <v>45233</v>
      </c>
      <c r="K60" s="172">
        <v>45233</v>
      </c>
      <c r="L60" s="172">
        <v>45345</v>
      </c>
      <c r="M60" s="172">
        <v>45471</v>
      </c>
      <c r="N60" s="172">
        <v>45545</v>
      </c>
      <c r="O60" s="12" t="s">
        <v>1638</v>
      </c>
      <c r="P60" t="s">
        <v>1419</v>
      </c>
      <c r="Q60" t="s">
        <v>1234</v>
      </c>
      <c r="R60" t="s">
        <v>1234</v>
      </c>
      <c r="S60" t="s">
        <v>1606</v>
      </c>
      <c r="T60" t="s">
        <v>1419</v>
      </c>
    </row>
    <row r="61" spans="1:20">
      <c r="A61" s="12" t="s">
        <v>1639</v>
      </c>
      <c r="B61" t="s">
        <v>1640</v>
      </c>
      <c r="C61" t="s">
        <v>786</v>
      </c>
      <c r="D61" t="s">
        <v>1493</v>
      </c>
      <c r="E61" t="s">
        <v>1414</v>
      </c>
      <c r="F61" t="s">
        <v>1415</v>
      </c>
      <c r="G61" t="s">
        <v>1473</v>
      </c>
      <c r="H61" s="172"/>
      <c r="I61" t="s">
        <v>1435</v>
      </c>
      <c r="J61" s="172">
        <v>45450</v>
      </c>
      <c r="K61" s="172">
        <v>45443</v>
      </c>
      <c r="L61" s="172">
        <v>45499</v>
      </c>
      <c r="M61" s="172">
        <v>45538</v>
      </c>
      <c r="N61" s="172">
        <v>45545</v>
      </c>
      <c r="O61" s="12" t="s">
        <v>1641</v>
      </c>
      <c r="P61" t="s">
        <v>1419</v>
      </c>
      <c r="Q61" t="s">
        <v>1234</v>
      </c>
      <c r="R61" t="s">
        <v>1234</v>
      </c>
      <c r="S61" t="s">
        <v>1606</v>
      </c>
      <c r="T61" t="s">
        <v>1419</v>
      </c>
    </row>
    <row r="62" spans="1:20">
      <c r="A62" s="12" t="s">
        <v>1642</v>
      </c>
      <c r="B62" t="s">
        <v>1643</v>
      </c>
      <c r="C62" t="s">
        <v>786</v>
      </c>
      <c r="D62" t="s">
        <v>1493</v>
      </c>
      <c r="E62" t="s">
        <v>1414</v>
      </c>
      <c r="F62" t="s">
        <v>1415</v>
      </c>
      <c r="G62" t="s">
        <v>1473</v>
      </c>
      <c r="H62" s="172"/>
      <c r="I62" t="s">
        <v>1435</v>
      </c>
      <c r="J62" s="172">
        <v>45527</v>
      </c>
      <c r="K62" s="172">
        <v>45527</v>
      </c>
      <c r="L62" s="172">
        <v>45527</v>
      </c>
      <c r="M62" s="172">
        <v>45534</v>
      </c>
      <c r="N62" s="172">
        <v>45554</v>
      </c>
      <c r="O62" s="12" t="s">
        <v>1644</v>
      </c>
      <c r="P62" t="s">
        <v>1419</v>
      </c>
      <c r="Q62" t="s">
        <v>1234</v>
      </c>
      <c r="R62" t="s">
        <v>1234</v>
      </c>
      <c r="S62" t="s">
        <v>1645</v>
      </c>
      <c r="T62" t="s">
        <v>1419</v>
      </c>
    </row>
    <row r="63" spans="1:20">
      <c r="A63" s="12" t="s">
        <v>1268</v>
      </c>
      <c r="B63" t="s">
        <v>1646</v>
      </c>
      <c r="C63" t="s">
        <v>1497</v>
      </c>
      <c r="D63" t="s">
        <v>1498</v>
      </c>
      <c r="E63" t="s">
        <v>994</v>
      </c>
      <c r="F63" t="s">
        <v>1415</v>
      </c>
      <c r="G63" t="s">
        <v>1499</v>
      </c>
      <c r="H63" s="172"/>
      <c r="I63" t="s">
        <v>1435</v>
      </c>
      <c r="J63" s="172">
        <v>45541</v>
      </c>
      <c r="K63" s="172">
        <v>45541</v>
      </c>
      <c r="L63" s="172">
        <v>45541</v>
      </c>
      <c r="M63" s="172">
        <v>45541</v>
      </c>
      <c r="N63" s="172">
        <v>45549</v>
      </c>
      <c r="O63" s="12" t="s">
        <v>1647</v>
      </c>
      <c r="P63" t="s">
        <v>1419</v>
      </c>
      <c r="Q63" t="s">
        <v>1234</v>
      </c>
      <c r="R63" t="s">
        <v>1234</v>
      </c>
      <c r="S63" t="s">
        <v>1645</v>
      </c>
      <c r="T63" t="s">
        <v>1419</v>
      </c>
    </row>
    <row r="64" spans="1:20">
      <c r="A64" s="12" t="s">
        <v>1648</v>
      </c>
      <c r="B64" t="s">
        <v>1649</v>
      </c>
      <c r="C64" t="s">
        <v>1650</v>
      </c>
      <c r="D64" t="s">
        <v>1651</v>
      </c>
      <c r="E64" t="s">
        <v>994</v>
      </c>
      <c r="F64" t="s">
        <v>1415</v>
      </c>
      <c r="G64" t="s">
        <v>1415</v>
      </c>
      <c r="H64" s="172"/>
      <c r="I64" t="s">
        <v>1417</v>
      </c>
      <c r="J64" s="172">
        <v>45527</v>
      </c>
      <c r="K64" s="172">
        <v>45527</v>
      </c>
      <c r="L64" s="172">
        <v>45527</v>
      </c>
      <c r="M64" s="172">
        <v>45534</v>
      </c>
      <c r="N64" s="172">
        <v>45555</v>
      </c>
      <c r="O64" s="12" t="s">
        <v>618</v>
      </c>
      <c r="P64" t="s">
        <v>1419</v>
      </c>
      <c r="Q64" t="s">
        <v>1234</v>
      </c>
      <c r="R64" t="s">
        <v>1234</v>
      </c>
      <c r="S64" t="s">
        <v>1645</v>
      </c>
      <c r="T64" t="s">
        <v>1419</v>
      </c>
    </row>
    <row r="65" spans="1:20">
      <c r="A65" s="12" t="s">
        <v>1652</v>
      </c>
      <c r="B65" t="s">
        <v>1653</v>
      </c>
      <c r="C65" t="s">
        <v>642</v>
      </c>
      <c r="D65" t="s">
        <v>1429</v>
      </c>
      <c r="E65" t="s">
        <v>994</v>
      </c>
      <c r="F65" t="s">
        <v>1415</v>
      </c>
      <c r="G65" t="s">
        <v>1506</v>
      </c>
      <c r="H65" s="172"/>
      <c r="I65" t="s">
        <v>1435</v>
      </c>
      <c r="J65" s="172">
        <v>45516</v>
      </c>
      <c r="K65" s="172">
        <v>45435</v>
      </c>
      <c r="L65" s="172">
        <v>45548</v>
      </c>
      <c r="M65" s="172">
        <v>45548</v>
      </c>
      <c r="N65" s="172">
        <v>45566</v>
      </c>
      <c r="O65" s="12" t="s">
        <v>1654</v>
      </c>
      <c r="P65" t="s">
        <v>1419</v>
      </c>
      <c r="Q65" t="s">
        <v>1234</v>
      </c>
      <c r="R65" t="s">
        <v>1234</v>
      </c>
      <c r="S65" t="s">
        <v>1655</v>
      </c>
      <c r="T65" t="s">
        <v>1419</v>
      </c>
    </row>
    <row r="66" spans="1:20">
      <c r="A66" s="12" t="s">
        <v>1656</v>
      </c>
      <c r="B66" t="s">
        <v>1657</v>
      </c>
      <c r="C66" t="s">
        <v>642</v>
      </c>
      <c r="D66" t="s">
        <v>1429</v>
      </c>
      <c r="E66" t="s">
        <v>994</v>
      </c>
      <c r="F66" t="s">
        <v>1415</v>
      </c>
      <c r="G66" t="s">
        <v>1506</v>
      </c>
      <c r="H66" s="172"/>
      <c r="I66" t="s">
        <v>1435</v>
      </c>
      <c r="J66" s="172">
        <v>45562</v>
      </c>
      <c r="K66" s="172">
        <v>45583</v>
      </c>
      <c r="L66" s="172">
        <v>45583</v>
      </c>
      <c r="M66" s="172">
        <v>45597</v>
      </c>
      <c r="N66" s="172">
        <v>45566</v>
      </c>
      <c r="O66" s="12" t="s">
        <v>1658</v>
      </c>
      <c r="P66" t="s">
        <v>1419</v>
      </c>
      <c r="Q66" t="s">
        <v>1234</v>
      </c>
      <c r="R66" t="s">
        <v>1234</v>
      </c>
      <c r="S66" t="s">
        <v>1655</v>
      </c>
      <c r="T66" t="s">
        <v>1419</v>
      </c>
    </row>
    <row r="67" spans="1:20">
      <c r="A67" s="12" t="s">
        <v>1272</v>
      </c>
      <c r="B67" t="s">
        <v>1659</v>
      </c>
      <c r="C67" t="s">
        <v>642</v>
      </c>
      <c r="D67" t="s">
        <v>1429</v>
      </c>
      <c r="E67" t="s">
        <v>994</v>
      </c>
      <c r="F67" t="s">
        <v>1415</v>
      </c>
      <c r="G67" t="s">
        <v>1473</v>
      </c>
      <c r="H67" s="172"/>
      <c r="I67" t="s">
        <v>1435</v>
      </c>
      <c r="J67" s="172">
        <v>45415</v>
      </c>
      <c r="K67" s="172">
        <v>45435</v>
      </c>
      <c r="L67" s="172">
        <v>45548</v>
      </c>
      <c r="M67" s="172">
        <v>45548</v>
      </c>
      <c r="N67" s="172">
        <v>45566</v>
      </c>
      <c r="O67" s="12" t="s">
        <v>1660</v>
      </c>
      <c r="P67" t="s">
        <v>1419</v>
      </c>
      <c r="Q67" t="s">
        <v>1234</v>
      </c>
      <c r="R67" t="s">
        <v>1234</v>
      </c>
      <c r="S67" t="s">
        <v>1655</v>
      </c>
      <c r="T67" t="s">
        <v>1419</v>
      </c>
    </row>
    <row r="68" spans="1:20">
      <c r="A68" s="12" t="s">
        <v>324</v>
      </c>
      <c r="B68" t="s">
        <v>1661</v>
      </c>
      <c r="C68" t="s">
        <v>1662</v>
      </c>
      <c r="D68" t="s">
        <v>1663</v>
      </c>
      <c r="E68" t="s">
        <v>994</v>
      </c>
      <c r="F68" t="s">
        <v>1415</v>
      </c>
      <c r="G68" t="s">
        <v>1415</v>
      </c>
      <c r="H68" s="172"/>
      <c r="I68" t="s">
        <v>1435</v>
      </c>
      <c r="J68" s="172">
        <v>45246</v>
      </c>
      <c r="K68" s="172">
        <v>45357</v>
      </c>
      <c r="L68" s="172">
        <v>45513</v>
      </c>
      <c r="M68" s="172">
        <v>45560</v>
      </c>
      <c r="N68" s="172">
        <v>45625</v>
      </c>
      <c r="O68" s="12" t="s">
        <v>1664</v>
      </c>
      <c r="P68" t="s">
        <v>1419</v>
      </c>
      <c r="Q68" t="s">
        <v>1234</v>
      </c>
      <c r="R68" t="s">
        <v>1234</v>
      </c>
      <c r="S68" t="s">
        <v>1655</v>
      </c>
      <c r="T68" t="s">
        <v>1419</v>
      </c>
    </row>
    <row r="69" spans="1:20">
      <c r="A69" s="12" t="s">
        <v>1665</v>
      </c>
      <c r="B69" t="s">
        <v>1666</v>
      </c>
      <c r="C69" t="s">
        <v>1650</v>
      </c>
      <c r="D69" t="s">
        <v>1651</v>
      </c>
      <c r="E69" t="s">
        <v>994</v>
      </c>
      <c r="F69" t="s">
        <v>1415</v>
      </c>
      <c r="G69" t="s">
        <v>1415</v>
      </c>
      <c r="H69" s="172"/>
      <c r="I69" t="s">
        <v>1417</v>
      </c>
      <c r="J69" s="172">
        <v>44750</v>
      </c>
      <c r="K69" s="172">
        <v>44762</v>
      </c>
      <c r="L69" s="172">
        <v>44762</v>
      </c>
      <c r="M69" s="172">
        <v>45492</v>
      </c>
      <c r="N69" s="172">
        <v>45553</v>
      </c>
      <c r="O69" s="12" t="s">
        <v>618</v>
      </c>
      <c r="P69" t="s">
        <v>1419</v>
      </c>
      <c r="Q69" t="s">
        <v>1234</v>
      </c>
      <c r="R69" t="s">
        <v>1234</v>
      </c>
      <c r="S69" t="s">
        <v>1655</v>
      </c>
      <c r="T69" t="s">
        <v>1419</v>
      </c>
    </row>
    <row r="70" spans="1:20">
      <c r="A70" s="12" t="s">
        <v>1667</v>
      </c>
      <c r="B70" t="s">
        <v>1668</v>
      </c>
      <c r="C70" t="s">
        <v>772</v>
      </c>
      <c r="D70" t="s">
        <v>1669</v>
      </c>
      <c r="E70" t="s">
        <v>994</v>
      </c>
      <c r="F70" t="s">
        <v>1415</v>
      </c>
      <c r="G70" t="s">
        <v>1473</v>
      </c>
      <c r="H70" s="172"/>
      <c r="I70" t="s">
        <v>1435</v>
      </c>
      <c r="J70" s="172">
        <v>45070</v>
      </c>
      <c r="K70" s="172">
        <v>45070</v>
      </c>
      <c r="L70" s="172">
        <v>45554</v>
      </c>
      <c r="M70" s="172">
        <v>45554</v>
      </c>
      <c r="N70" s="172">
        <v>45554</v>
      </c>
      <c r="O70" s="12" t="s">
        <v>1670</v>
      </c>
      <c r="P70" t="s">
        <v>1419</v>
      </c>
      <c r="Q70" t="s">
        <v>1234</v>
      </c>
      <c r="R70" t="s">
        <v>1234</v>
      </c>
      <c r="S70" t="s">
        <v>1655</v>
      </c>
      <c r="T70" t="s">
        <v>1419</v>
      </c>
    </row>
    <row r="71" spans="1:20">
      <c r="A71" s="12" t="s">
        <v>1170</v>
      </c>
      <c r="B71" t="s">
        <v>1671</v>
      </c>
      <c r="C71" t="s">
        <v>772</v>
      </c>
      <c r="D71" t="s">
        <v>1669</v>
      </c>
      <c r="E71" t="s">
        <v>994</v>
      </c>
      <c r="F71" t="s">
        <v>1415</v>
      </c>
      <c r="G71" t="s">
        <v>1506</v>
      </c>
      <c r="H71" s="172"/>
      <c r="I71" t="s">
        <v>1435</v>
      </c>
      <c r="J71" s="172">
        <v>45488</v>
      </c>
      <c r="K71" s="172">
        <v>45488</v>
      </c>
      <c r="L71" s="172">
        <v>45488</v>
      </c>
      <c r="M71" s="172">
        <v>45488</v>
      </c>
      <c r="N71" s="172">
        <v>45513</v>
      </c>
      <c r="O71" s="12" t="s">
        <v>1672</v>
      </c>
      <c r="P71" t="s">
        <v>1419</v>
      </c>
      <c r="Q71" t="s">
        <v>1234</v>
      </c>
      <c r="R71" t="s">
        <v>1234</v>
      </c>
      <c r="S71" t="s">
        <v>1655</v>
      </c>
      <c r="T71" t="s">
        <v>1419</v>
      </c>
    </row>
    <row r="72" spans="1:20">
      <c r="A72" s="12" t="s">
        <v>1107</v>
      </c>
      <c r="B72" t="s">
        <v>1673</v>
      </c>
      <c r="C72" t="s">
        <v>786</v>
      </c>
      <c r="D72" t="s">
        <v>1493</v>
      </c>
      <c r="E72" t="s">
        <v>994</v>
      </c>
      <c r="F72" t="s">
        <v>1415</v>
      </c>
      <c r="G72" t="s">
        <v>1506</v>
      </c>
      <c r="H72" s="172"/>
      <c r="I72" t="s">
        <v>1435</v>
      </c>
      <c r="J72" s="172">
        <v>45538</v>
      </c>
      <c r="K72" s="172">
        <v>45553</v>
      </c>
      <c r="L72" s="172">
        <v>45553</v>
      </c>
      <c r="M72" s="172">
        <v>45567</v>
      </c>
      <c r="N72" s="172">
        <v>45558</v>
      </c>
      <c r="O72" s="12" t="s">
        <v>1674</v>
      </c>
      <c r="P72" t="s">
        <v>1419</v>
      </c>
      <c r="Q72" t="s">
        <v>1234</v>
      </c>
      <c r="R72" t="s">
        <v>1234</v>
      </c>
      <c r="S72" t="s">
        <v>1655</v>
      </c>
      <c r="T72" t="s">
        <v>1419</v>
      </c>
    </row>
    <row r="73" spans="1:20">
      <c r="A73" s="12" t="s">
        <v>1173</v>
      </c>
      <c r="B73" t="s">
        <v>1675</v>
      </c>
      <c r="C73" t="s">
        <v>321</v>
      </c>
      <c r="D73" t="s">
        <v>1676</v>
      </c>
      <c r="E73" t="s">
        <v>994</v>
      </c>
      <c r="F73" t="s">
        <v>1415</v>
      </c>
      <c r="G73" t="s">
        <v>1506</v>
      </c>
      <c r="H73" s="172"/>
      <c r="I73" t="s">
        <v>1677</v>
      </c>
      <c r="J73" s="172">
        <v>45418</v>
      </c>
      <c r="K73" s="172">
        <v>45418</v>
      </c>
      <c r="L73" s="172">
        <v>45435</v>
      </c>
      <c r="M73" s="172">
        <v>45435</v>
      </c>
      <c r="N73" s="172">
        <v>45447</v>
      </c>
      <c r="O73" s="12" t="s">
        <v>1678</v>
      </c>
      <c r="P73" t="s">
        <v>1419</v>
      </c>
      <c r="Q73" t="s">
        <v>1234</v>
      </c>
      <c r="R73" t="s">
        <v>1234</v>
      </c>
      <c r="S73" t="s">
        <v>1655</v>
      </c>
      <c r="T73" t="s">
        <v>1419</v>
      </c>
    </row>
    <row r="74" spans="1:20">
      <c r="A74" s="12" t="s">
        <v>1117</v>
      </c>
      <c r="B74" t="s">
        <v>1679</v>
      </c>
      <c r="C74" t="s">
        <v>1545</v>
      </c>
      <c r="D74" t="s">
        <v>1600</v>
      </c>
      <c r="E74" t="s">
        <v>994</v>
      </c>
      <c r="F74" t="s">
        <v>1415</v>
      </c>
      <c r="G74" t="s">
        <v>1415</v>
      </c>
      <c r="H74" s="172">
        <v>45604</v>
      </c>
      <c r="I74" t="s">
        <v>1417</v>
      </c>
      <c r="J74" s="172">
        <v>45247</v>
      </c>
      <c r="K74" s="172">
        <v>45394</v>
      </c>
      <c r="L74" s="172">
        <v>45247</v>
      </c>
      <c r="M74" s="172">
        <v>45576</v>
      </c>
      <c r="N74" s="172">
        <v>45595</v>
      </c>
      <c r="O74" s="12" t="s">
        <v>1680</v>
      </c>
      <c r="P74" t="s">
        <v>1419</v>
      </c>
      <c r="Q74" t="s">
        <v>1234</v>
      </c>
      <c r="R74" t="s">
        <v>1234</v>
      </c>
      <c r="S74" t="s">
        <v>1681</v>
      </c>
      <c r="T74" t="s">
        <v>1419</v>
      </c>
    </row>
    <row r="75" spans="1:20">
      <c r="A75" s="12" t="s">
        <v>1337</v>
      </c>
      <c r="B75" t="s">
        <v>1682</v>
      </c>
      <c r="C75" t="s">
        <v>642</v>
      </c>
      <c r="D75" t="s">
        <v>1429</v>
      </c>
      <c r="E75" t="s">
        <v>994</v>
      </c>
      <c r="F75" t="s">
        <v>1415</v>
      </c>
      <c r="G75" t="s">
        <v>1473</v>
      </c>
      <c r="H75" s="172">
        <v>45583</v>
      </c>
      <c r="I75" t="s">
        <v>1435</v>
      </c>
      <c r="J75" s="172">
        <v>45411</v>
      </c>
      <c r="K75" s="172">
        <v>45546</v>
      </c>
      <c r="L75" s="172">
        <v>45548</v>
      </c>
      <c r="M75" s="172">
        <v>45548</v>
      </c>
      <c r="N75" s="172">
        <v>45561</v>
      </c>
      <c r="O75" s="12" t="s">
        <v>1683</v>
      </c>
      <c r="P75" t="s">
        <v>1419</v>
      </c>
      <c r="Q75" t="s">
        <v>1234</v>
      </c>
      <c r="R75" t="s">
        <v>1234</v>
      </c>
      <c r="S75" t="s">
        <v>1684</v>
      </c>
      <c r="T75" t="s">
        <v>1419</v>
      </c>
    </row>
    <row r="76" spans="1:20">
      <c r="A76" s="12" t="s">
        <v>1685</v>
      </c>
      <c r="B76" t="s">
        <v>1686</v>
      </c>
      <c r="C76" t="s">
        <v>642</v>
      </c>
      <c r="D76" t="s">
        <v>1429</v>
      </c>
      <c r="E76" t="s">
        <v>1414</v>
      </c>
      <c r="F76" t="s">
        <v>1415</v>
      </c>
      <c r="G76" t="s">
        <v>1473</v>
      </c>
      <c r="H76" s="172">
        <v>45583</v>
      </c>
      <c r="I76" t="s">
        <v>1435</v>
      </c>
      <c r="J76" s="172">
        <v>45548</v>
      </c>
      <c r="K76" s="172">
        <v>45572</v>
      </c>
      <c r="L76" s="172">
        <v>45572</v>
      </c>
      <c r="M76" s="172">
        <v>45569</v>
      </c>
      <c r="N76" s="172">
        <v>45576</v>
      </c>
      <c r="O76" s="12" t="s">
        <v>1687</v>
      </c>
      <c r="P76" t="s">
        <v>1419</v>
      </c>
      <c r="Q76" t="s">
        <v>1234</v>
      </c>
      <c r="R76" t="s">
        <v>1234</v>
      </c>
      <c r="S76" t="s">
        <v>1684</v>
      </c>
      <c r="T76" t="s">
        <v>1419</v>
      </c>
    </row>
    <row r="77" spans="1:20">
      <c r="A77" s="12" t="s">
        <v>1688</v>
      </c>
      <c r="B77" t="s">
        <v>1689</v>
      </c>
      <c r="C77" t="s">
        <v>642</v>
      </c>
      <c r="D77" t="s">
        <v>1429</v>
      </c>
      <c r="E77" t="s">
        <v>994</v>
      </c>
      <c r="F77" t="s">
        <v>1415</v>
      </c>
      <c r="G77" t="s">
        <v>1415</v>
      </c>
      <c r="H77" s="172">
        <v>45583</v>
      </c>
      <c r="I77" t="s">
        <v>1417</v>
      </c>
      <c r="J77" s="172">
        <v>45516</v>
      </c>
      <c r="K77" s="172">
        <v>45516</v>
      </c>
      <c r="L77" s="172">
        <v>45517</v>
      </c>
      <c r="M77" s="172">
        <v>45520</v>
      </c>
      <c r="N77" s="172">
        <v>45554</v>
      </c>
      <c r="O77" s="12" t="s">
        <v>1690</v>
      </c>
      <c r="P77" t="s">
        <v>1419</v>
      </c>
      <c r="Q77" t="s">
        <v>1234</v>
      </c>
      <c r="R77" t="s">
        <v>1234</v>
      </c>
      <c r="S77" t="s">
        <v>1684</v>
      </c>
      <c r="T77" t="s">
        <v>1419</v>
      </c>
    </row>
    <row r="78" spans="1:20">
      <c r="A78" s="12" t="s">
        <v>1309</v>
      </c>
      <c r="B78" t="s">
        <v>1691</v>
      </c>
      <c r="C78" t="s">
        <v>642</v>
      </c>
      <c r="D78" t="s">
        <v>1429</v>
      </c>
      <c r="E78" t="s">
        <v>1414</v>
      </c>
      <c r="F78" t="s">
        <v>1415</v>
      </c>
      <c r="G78" t="s">
        <v>1499</v>
      </c>
      <c r="H78" s="172"/>
      <c r="I78" t="s">
        <v>1417</v>
      </c>
      <c r="J78" s="172">
        <v>45553</v>
      </c>
      <c r="K78" s="172">
        <v>45560</v>
      </c>
      <c r="L78" s="172">
        <v>45583</v>
      </c>
      <c r="M78" s="172">
        <v>45583</v>
      </c>
      <c r="N78" s="172">
        <v>45498</v>
      </c>
      <c r="O78" s="12" t="s">
        <v>1692</v>
      </c>
      <c r="P78" t="s">
        <v>1419</v>
      </c>
      <c r="Q78" t="s">
        <v>1234</v>
      </c>
      <c r="R78" t="s">
        <v>1234</v>
      </c>
      <c r="S78" t="s">
        <v>1684</v>
      </c>
      <c r="T78" t="s">
        <v>1419</v>
      </c>
    </row>
    <row r="79" spans="1:20">
      <c r="A79" s="12" t="s">
        <v>1693</v>
      </c>
      <c r="B79" t="s">
        <v>1694</v>
      </c>
      <c r="C79" t="s">
        <v>642</v>
      </c>
      <c r="D79" t="s">
        <v>1429</v>
      </c>
      <c r="E79" t="s">
        <v>994</v>
      </c>
      <c r="F79" t="s">
        <v>1415</v>
      </c>
      <c r="G79" t="s">
        <v>1473</v>
      </c>
      <c r="H79" s="172">
        <v>45597</v>
      </c>
      <c r="I79" t="s">
        <v>1435</v>
      </c>
      <c r="J79" s="172">
        <v>45385</v>
      </c>
      <c r="K79" s="172">
        <v>45562</v>
      </c>
      <c r="L79" s="172">
        <v>45463</v>
      </c>
      <c r="M79" s="172">
        <v>45561</v>
      </c>
      <c r="N79" s="172">
        <v>45596</v>
      </c>
      <c r="O79" s="12" t="s">
        <v>1695</v>
      </c>
      <c r="P79" t="s">
        <v>1419</v>
      </c>
      <c r="Q79" t="s">
        <v>1234</v>
      </c>
      <c r="R79" t="s">
        <v>1234</v>
      </c>
      <c r="S79" t="s">
        <v>1696</v>
      </c>
      <c r="T79" t="s">
        <v>1697</v>
      </c>
    </row>
    <row r="80" spans="1:20">
      <c r="A80" s="12" t="s">
        <v>1698</v>
      </c>
      <c r="B80" t="s">
        <v>1699</v>
      </c>
      <c r="C80" t="s">
        <v>1700</v>
      </c>
      <c r="D80" t="s">
        <v>1701</v>
      </c>
      <c r="E80" t="s">
        <v>994</v>
      </c>
      <c r="F80" t="s">
        <v>1415</v>
      </c>
      <c r="G80" t="s">
        <v>1415</v>
      </c>
      <c r="H80" s="172"/>
      <c r="I80" t="s">
        <v>1417</v>
      </c>
      <c r="J80" s="172">
        <v>45546</v>
      </c>
      <c r="K80" s="172">
        <v>45546</v>
      </c>
      <c r="L80" s="172">
        <v>45546</v>
      </c>
      <c r="M80" s="172">
        <v>45546</v>
      </c>
      <c r="N80" s="172">
        <v>45551</v>
      </c>
      <c r="O80" s="12" t="s">
        <v>1702</v>
      </c>
      <c r="P80" t="s">
        <v>1419</v>
      </c>
      <c r="Q80" t="s">
        <v>1234</v>
      </c>
      <c r="R80" t="s">
        <v>1234</v>
      </c>
      <c r="S80" t="s">
        <v>1696</v>
      </c>
      <c r="T80" t="s">
        <v>1419</v>
      </c>
    </row>
    <row r="81" spans="1:20">
      <c r="A81" s="12" t="s">
        <v>1101</v>
      </c>
      <c r="B81" t="s">
        <v>1703</v>
      </c>
      <c r="C81" t="s">
        <v>1704</v>
      </c>
      <c r="D81" t="s">
        <v>1705</v>
      </c>
      <c r="E81" t="s">
        <v>994</v>
      </c>
      <c r="F81" t="s">
        <v>1415</v>
      </c>
      <c r="G81" t="s">
        <v>1415</v>
      </c>
      <c r="H81" s="172">
        <v>45597</v>
      </c>
      <c r="I81" t="s">
        <v>1435</v>
      </c>
      <c r="J81" s="172">
        <v>45376</v>
      </c>
      <c r="K81" s="172">
        <v>45450</v>
      </c>
      <c r="L81" s="172">
        <v>45394</v>
      </c>
      <c r="M81" s="172">
        <v>45492</v>
      </c>
      <c r="N81" s="172">
        <v>45596</v>
      </c>
      <c r="O81" s="12" t="s">
        <v>1180</v>
      </c>
      <c r="P81" t="s">
        <v>1419</v>
      </c>
      <c r="Q81" t="s">
        <v>1234</v>
      </c>
      <c r="R81" t="s">
        <v>1234</v>
      </c>
      <c r="S81" t="s">
        <v>1706</v>
      </c>
      <c r="T81" t="s">
        <v>1707</v>
      </c>
    </row>
    <row r="82" spans="1:20">
      <c r="A82" s="12" t="s">
        <v>1708</v>
      </c>
      <c r="B82" t="s">
        <v>1709</v>
      </c>
      <c r="C82" t="s">
        <v>642</v>
      </c>
      <c r="D82" t="s">
        <v>1429</v>
      </c>
      <c r="E82" t="s">
        <v>994</v>
      </c>
      <c r="F82" t="s">
        <v>1415</v>
      </c>
      <c r="G82" t="s">
        <v>1415</v>
      </c>
      <c r="H82" s="172"/>
      <c r="I82" t="s">
        <v>1677</v>
      </c>
      <c r="J82" s="172">
        <v>45412</v>
      </c>
      <c r="K82" s="172">
        <v>45477</v>
      </c>
      <c r="L82" s="172">
        <v>45594</v>
      </c>
      <c r="M82" s="172">
        <v>45594</v>
      </c>
      <c r="N82" s="172">
        <v>45595</v>
      </c>
      <c r="O82" s="12" t="s">
        <v>1710</v>
      </c>
      <c r="P82" t="s">
        <v>1419</v>
      </c>
      <c r="Q82" t="s">
        <v>1234</v>
      </c>
      <c r="R82" t="s">
        <v>1234</v>
      </c>
      <c r="S82" t="s">
        <v>1711</v>
      </c>
      <c r="T82" t="s">
        <v>1419</v>
      </c>
    </row>
    <row r="83" spans="1:20">
      <c r="A83" s="12" t="s">
        <v>1712</v>
      </c>
      <c r="B83" t="s">
        <v>1713</v>
      </c>
      <c r="C83" t="s">
        <v>642</v>
      </c>
      <c r="D83" t="s">
        <v>1429</v>
      </c>
      <c r="E83" t="s">
        <v>1414</v>
      </c>
      <c r="F83" t="s">
        <v>1415</v>
      </c>
      <c r="G83" t="s">
        <v>1415</v>
      </c>
      <c r="H83" s="172"/>
      <c r="I83" t="s">
        <v>1435</v>
      </c>
      <c r="J83" s="172">
        <v>45440</v>
      </c>
      <c r="K83" s="172">
        <v>45462</v>
      </c>
      <c r="L83" s="172">
        <v>45525</v>
      </c>
      <c r="M83" s="172">
        <v>45527</v>
      </c>
      <c r="N83" s="172">
        <v>45541</v>
      </c>
      <c r="O83" s="12" t="s">
        <v>1714</v>
      </c>
      <c r="P83" t="s">
        <v>1419</v>
      </c>
      <c r="Q83" t="s">
        <v>1234</v>
      </c>
      <c r="R83" t="s">
        <v>1234</v>
      </c>
      <c r="S83" t="s">
        <v>1711</v>
      </c>
      <c r="T83" t="s">
        <v>1419</v>
      </c>
    </row>
    <row r="84" spans="1:20">
      <c r="A84" s="12" t="s">
        <v>1715</v>
      </c>
      <c r="B84" t="s">
        <v>1716</v>
      </c>
      <c r="C84" t="s">
        <v>1497</v>
      </c>
      <c r="D84" t="s">
        <v>1498</v>
      </c>
      <c r="E84" t="s">
        <v>994</v>
      </c>
      <c r="F84" t="s">
        <v>1415</v>
      </c>
      <c r="G84" t="s">
        <v>1415</v>
      </c>
      <c r="H84" s="172">
        <v>45611</v>
      </c>
      <c r="I84" t="s">
        <v>1435</v>
      </c>
      <c r="J84" s="172">
        <v>45569</v>
      </c>
      <c r="K84" s="172">
        <v>45569</v>
      </c>
      <c r="L84" s="172">
        <v>45576</v>
      </c>
      <c r="M84" s="172">
        <v>45593</v>
      </c>
      <c r="N84" s="172">
        <v>45609</v>
      </c>
      <c r="O84" s="12" t="s">
        <v>1717</v>
      </c>
      <c r="P84" t="s">
        <v>1419</v>
      </c>
      <c r="Q84" t="s">
        <v>1234</v>
      </c>
      <c r="R84" t="s">
        <v>1234</v>
      </c>
      <c r="S84" t="s">
        <v>1711</v>
      </c>
      <c r="T84" t="s">
        <v>1718</v>
      </c>
    </row>
    <row r="85" spans="1:20">
      <c r="A85" s="12" t="s">
        <v>1085</v>
      </c>
      <c r="B85" t="s">
        <v>1719</v>
      </c>
      <c r="C85" t="s">
        <v>642</v>
      </c>
      <c r="D85" t="s">
        <v>1429</v>
      </c>
      <c r="E85" t="s">
        <v>994</v>
      </c>
      <c r="F85" t="s">
        <v>1415</v>
      </c>
      <c r="G85" t="s">
        <v>1473</v>
      </c>
      <c r="H85" s="172"/>
      <c r="I85" t="s">
        <v>1435</v>
      </c>
      <c r="J85" s="172">
        <v>45579</v>
      </c>
      <c r="K85" s="172">
        <v>45594</v>
      </c>
      <c r="L85" s="172">
        <v>45594</v>
      </c>
      <c r="M85" s="172">
        <v>45594</v>
      </c>
      <c r="N85" s="172">
        <v>45595</v>
      </c>
      <c r="O85" s="12" t="s">
        <v>1720</v>
      </c>
      <c r="P85" t="s">
        <v>1419</v>
      </c>
      <c r="Q85" t="s">
        <v>1234</v>
      </c>
      <c r="R85" t="s">
        <v>1234</v>
      </c>
      <c r="S85" t="s">
        <v>1711</v>
      </c>
      <c r="T85" t="s">
        <v>1419</v>
      </c>
    </row>
    <row r="86" spans="1:20">
      <c r="A86" s="12" t="s">
        <v>1721</v>
      </c>
      <c r="B86" t="s">
        <v>1722</v>
      </c>
      <c r="C86" t="s">
        <v>1497</v>
      </c>
      <c r="D86" t="s">
        <v>1498</v>
      </c>
      <c r="E86" t="s">
        <v>994</v>
      </c>
      <c r="F86" t="s">
        <v>1415</v>
      </c>
      <c r="G86" t="s">
        <v>1506</v>
      </c>
      <c r="H86" s="172">
        <v>45604</v>
      </c>
      <c r="I86" t="s">
        <v>1435</v>
      </c>
      <c r="J86" s="172">
        <v>45341</v>
      </c>
      <c r="K86" s="172">
        <v>45341</v>
      </c>
      <c r="L86" s="172">
        <v>45341</v>
      </c>
      <c r="M86" s="172">
        <v>45355</v>
      </c>
      <c r="N86" s="172">
        <v>45600</v>
      </c>
      <c r="O86" s="12" t="s">
        <v>1723</v>
      </c>
      <c r="P86" t="s">
        <v>1419</v>
      </c>
      <c r="Q86" t="s">
        <v>1234</v>
      </c>
      <c r="R86" t="s">
        <v>1234</v>
      </c>
      <c r="S86" t="s">
        <v>1711</v>
      </c>
      <c r="T86" t="s">
        <v>1419</v>
      </c>
    </row>
    <row r="87" spans="1:20">
      <c r="A87" s="12" t="s">
        <v>1724</v>
      </c>
      <c r="B87" t="s">
        <v>1725</v>
      </c>
      <c r="C87" t="s">
        <v>786</v>
      </c>
      <c r="D87" t="s">
        <v>1464</v>
      </c>
      <c r="E87" t="s">
        <v>994</v>
      </c>
      <c r="F87" t="s">
        <v>1415</v>
      </c>
      <c r="G87" t="s">
        <v>1415</v>
      </c>
      <c r="H87" s="172">
        <v>45593</v>
      </c>
      <c r="I87" t="s">
        <v>1417</v>
      </c>
      <c r="J87" s="172">
        <v>45544</v>
      </c>
      <c r="K87" s="172">
        <v>45544</v>
      </c>
      <c r="L87" s="172">
        <v>45547</v>
      </c>
      <c r="M87" s="172">
        <v>45586</v>
      </c>
      <c r="N87" s="172">
        <v>45589</v>
      </c>
      <c r="O87" s="12" t="s">
        <v>1726</v>
      </c>
      <c r="P87" t="s">
        <v>1419</v>
      </c>
      <c r="Q87" t="s">
        <v>1234</v>
      </c>
      <c r="R87" t="s">
        <v>1234</v>
      </c>
      <c r="S87" t="s">
        <v>1711</v>
      </c>
      <c r="T87" t="s">
        <v>1419</v>
      </c>
    </row>
    <row r="88" spans="1:20">
      <c r="A88" s="12" t="s">
        <v>1098</v>
      </c>
      <c r="B88" t="s">
        <v>1727</v>
      </c>
      <c r="C88" t="s">
        <v>1497</v>
      </c>
      <c r="D88" t="s">
        <v>1498</v>
      </c>
      <c r="E88" t="s">
        <v>994</v>
      </c>
      <c r="F88" t="s">
        <v>1415</v>
      </c>
      <c r="G88" t="s">
        <v>1506</v>
      </c>
      <c r="H88" s="172">
        <v>45665</v>
      </c>
      <c r="I88" t="s">
        <v>1435</v>
      </c>
      <c r="J88" s="172">
        <v>45485</v>
      </c>
      <c r="K88" s="172">
        <v>45540</v>
      </c>
      <c r="L88" s="172">
        <v>45499</v>
      </c>
      <c r="M88" s="172">
        <v>45574</v>
      </c>
      <c r="N88" s="172">
        <v>45609</v>
      </c>
      <c r="O88" s="12" t="s">
        <v>1728</v>
      </c>
      <c r="P88" t="s">
        <v>1419</v>
      </c>
      <c r="Q88" t="s">
        <v>1234</v>
      </c>
      <c r="R88" t="s">
        <v>1234</v>
      </c>
      <c r="S88" t="s">
        <v>1729</v>
      </c>
      <c r="T88" t="s">
        <v>1730</v>
      </c>
    </row>
    <row r="89" spans="1:20">
      <c r="A89" s="12" t="s">
        <v>1003</v>
      </c>
      <c r="B89" t="s">
        <v>1731</v>
      </c>
      <c r="C89" t="s">
        <v>642</v>
      </c>
      <c r="D89" t="s">
        <v>1429</v>
      </c>
      <c r="E89" t="s">
        <v>994</v>
      </c>
      <c r="F89" t="s">
        <v>1415</v>
      </c>
      <c r="G89" t="s">
        <v>1506</v>
      </c>
      <c r="H89" s="172"/>
      <c r="I89" t="s">
        <v>1435</v>
      </c>
      <c r="J89" s="172">
        <v>45565</v>
      </c>
      <c r="K89" s="172">
        <v>45580</v>
      </c>
      <c r="L89" s="172">
        <v>45574</v>
      </c>
      <c r="M89" s="172">
        <v>45588</v>
      </c>
      <c r="N89" s="172">
        <v>45603</v>
      </c>
      <c r="O89" s="12" t="s">
        <v>1732</v>
      </c>
      <c r="P89" t="s">
        <v>1419</v>
      </c>
      <c r="Q89" t="s">
        <v>1234</v>
      </c>
      <c r="R89" t="s">
        <v>1234</v>
      </c>
      <c r="S89" t="s">
        <v>1729</v>
      </c>
      <c r="T89" t="s">
        <v>1419</v>
      </c>
    </row>
    <row r="90" spans="1:20">
      <c r="A90" s="12" t="s">
        <v>1084</v>
      </c>
      <c r="B90" t="s">
        <v>1733</v>
      </c>
      <c r="C90" t="s">
        <v>1521</v>
      </c>
      <c r="D90" t="s">
        <v>1522</v>
      </c>
      <c r="E90" t="s">
        <v>994</v>
      </c>
      <c r="F90" t="s">
        <v>1415</v>
      </c>
      <c r="G90" t="s">
        <v>1489</v>
      </c>
      <c r="H90" s="172">
        <v>45632</v>
      </c>
      <c r="I90" t="s">
        <v>1435</v>
      </c>
      <c r="J90" s="172">
        <v>45478</v>
      </c>
      <c r="K90" s="172">
        <v>45478</v>
      </c>
      <c r="L90" s="172">
        <v>45583</v>
      </c>
      <c r="M90" s="172">
        <v>45583</v>
      </c>
      <c r="N90" s="172">
        <v>45628</v>
      </c>
      <c r="O90" s="12" t="s">
        <v>1734</v>
      </c>
      <c r="P90" t="s">
        <v>1419</v>
      </c>
      <c r="Q90" t="s">
        <v>1234</v>
      </c>
      <c r="R90" t="s">
        <v>1234</v>
      </c>
      <c r="S90" t="s">
        <v>1729</v>
      </c>
      <c r="T90" t="s">
        <v>1419</v>
      </c>
    </row>
    <row r="91" spans="1:20">
      <c r="A91" s="12" t="s">
        <v>1735</v>
      </c>
      <c r="B91" t="s">
        <v>1736</v>
      </c>
      <c r="C91" t="s">
        <v>1737</v>
      </c>
      <c r="D91" t="s">
        <v>1738</v>
      </c>
      <c r="E91" t="s">
        <v>994</v>
      </c>
      <c r="F91" t="s">
        <v>1415</v>
      </c>
      <c r="G91" t="s">
        <v>1415</v>
      </c>
      <c r="H91" s="172">
        <v>45626</v>
      </c>
      <c r="I91" t="s">
        <v>1435</v>
      </c>
      <c r="J91" s="172">
        <v>45530</v>
      </c>
      <c r="K91" s="172">
        <v>45531</v>
      </c>
      <c r="L91" s="172">
        <v>45531</v>
      </c>
      <c r="M91" s="172">
        <v>45531</v>
      </c>
      <c r="N91" s="172">
        <v>45547</v>
      </c>
      <c r="O91" s="12" t="s">
        <v>1739</v>
      </c>
      <c r="P91" t="s">
        <v>1419</v>
      </c>
      <c r="Q91" t="s">
        <v>1234</v>
      </c>
      <c r="R91" t="s">
        <v>1234</v>
      </c>
      <c r="S91" t="s">
        <v>1729</v>
      </c>
      <c r="T91" t="s">
        <v>1419</v>
      </c>
    </row>
    <row r="92" spans="1:20">
      <c r="A92" s="12" t="s">
        <v>1740</v>
      </c>
      <c r="B92" t="s">
        <v>1741</v>
      </c>
      <c r="C92" t="s">
        <v>642</v>
      </c>
      <c r="D92" t="s">
        <v>1429</v>
      </c>
      <c r="E92" t="s">
        <v>994</v>
      </c>
      <c r="F92" t="s">
        <v>1415</v>
      </c>
      <c r="G92" t="s">
        <v>1415</v>
      </c>
      <c r="H92" s="172">
        <v>45602</v>
      </c>
      <c r="I92" t="s">
        <v>1435</v>
      </c>
      <c r="J92" s="172">
        <v>45555</v>
      </c>
      <c r="K92" s="172">
        <v>45604</v>
      </c>
      <c r="L92" s="172">
        <v>45590</v>
      </c>
      <c r="M92" s="172">
        <v>45590</v>
      </c>
      <c r="N92" s="172">
        <v>45602</v>
      </c>
      <c r="O92" s="12" t="s">
        <v>1742</v>
      </c>
      <c r="P92" t="s">
        <v>1419</v>
      </c>
      <c r="Q92" t="s">
        <v>1234</v>
      </c>
      <c r="R92" t="s">
        <v>1234</v>
      </c>
      <c r="S92" t="s">
        <v>1729</v>
      </c>
      <c r="T92" t="s">
        <v>1419</v>
      </c>
    </row>
    <row r="93" spans="1:20">
      <c r="A93" s="12" t="s">
        <v>1743</v>
      </c>
      <c r="B93" t="s">
        <v>1744</v>
      </c>
      <c r="C93" t="s">
        <v>642</v>
      </c>
      <c r="D93" t="s">
        <v>1429</v>
      </c>
      <c r="E93" t="s">
        <v>994</v>
      </c>
      <c r="F93" t="s">
        <v>1415</v>
      </c>
      <c r="G93" t="s">
        <v>1499</v>
      </c>
      <c r="H93" s="172"/>
      <c r="I93" t="s">
        <v>1417</v>
      </c>
      <c r="J93" s="172">
        <v>45611</v>
      </c>
      <c r="K93" s="172">
        <v>45625</v>
      </c>
      <c r="L93" s="172">
        <v>45624</v>
      </c>
      <c r="M93" s="172">
        <v>45625</v>
      </c>
      <c r="N93" s="172">
        <v>45604</v>
      </c>
      <c r="O93" s="12" t="s">
        <v>1745</v>
      </c>
      <c r="P93" t="s">
        <v>1419</v>
      </c>
      <c r="Q93" t="s">
        <v>1234</v>
      </c>
      <c r="R93" t="s">
        <v>1234</v>
      </c>
      <c r="S93" t="s">
        <v>1729</v>
      </c>
      <c r="T93" t="s">
        <v>1419</v>
      </c>
    </row>
    <row r="94" spans="1:20">
      <c r="A94" s="12" t="s">
        <v>1102</v>
      </c>
      <c r="B94" t="s">
        <v>1746</v>
      </c>
      <c r="C94" t="s">
        <v>642</v>
      </c>
      <c r="D94" t="s">
        <v>1429</v>
      </c>
      <c r="E94" t="s">
        <v>994</v>
      </c>
      <c r="F94" t="s">
        <v>1415</v>
      </c>
      <c r="G94" t="s">
        <v>1416</v>
      </c>
      <c r="H94" s="172">
        <v>45622</v>
      </c>
      <c r="I94" t="s">
        <v>1435</v>
      </c>
      <c r="J94" s="172">
        <v>45559</v>
      </c>
      <c r="K94" s="172">
        <v>45583</v>
      </c>
      <c r="L94" s="172">
        <v>45583</v>
      </c>
      <c r="M94" s="172">
        <v>45590</v>
      </c>
      <c r="N94" s="172">
        <v>45618</v>
      </c>
      <c r="O94" s="12" t="s">
        <v>1747</v>
      </c>
      <c r="P94" t="s">
        <v>1419</v>
      </c>
      <c r="Q94" t="s">
        <v>1234</v>
      </c>
      <c r="R94" t="s">
        <v>1234</v>
      </c>
      <c r="S94" t="s">
        <v>1729</v>
      </c>
      <c r="T94" t="s">
        <v>1419</v>
      </c>
    </row>
    <row r="95" spans="1:20">
      <c r="A95" s="12" t="s">
        <v>1748</v>
      </c>
      <c r="B95" t="s">
        <v>1749</v>
      </c>
      <c r="C95" t="s">
        <v>642</v>
      </c>
      <c r="D95" t="s">
        <v>1429</v>
      </c>
      <c r="E95" t="s">
        <v>994</v>
      </c>
      <c r="F95" t="s">
        <v>1415</v>
      </c>
      <c r="G95" t="s">
        <v>1415</v>
      </c>
      <c r="H95" s="172">
        <v>45618</v>
      </c>
      <c r="I95" t="s">
        <v>1435</v>
      </c>
      <c r="J95" s="172">
        <v>45418</v>
      </c>
      <c r="K95" s="172">
        <v>45428</v>
      </c>
      <c r="L95" s="172">
        <v>45435</v>
      </c>
      <c r="M95" s="172">
        <v>45476</v>
      </c>
      <c r="N95" s="172">
        <v>45610</v>
      </c>
      <c r="O95" s="12" t="s">
        <v>1750</v>
      </c>
      <c r="P95" t="s">
        <v>1419</v>
      </c>
      <c r="Q95" t="s">
        <v>1234</v>
      </c>
      <c r="R95" t="s">
        <v>1234</v>
      </c>
      <c r="S95" t="s">
        <v>1729</v>
      </c>
      <c r="T95" t="s">
        <v>1419</v>
      </c>
    </row>
    <row r="96" spans="1:20">
      <c r="A96" s="12" t="s">
        <v>1751</v>
      </c>
      <c r="B96" t="s">
        <v>1752</v>
      </c>
      <c r="C96" t="s">
        <v>321</v>
      </c>
      <c r="D96" t="s">
        <v>1530</v>
      </c>
      <c r="E96" t="s">
        <v>994</v>
      </c>
      <c r="F96" t="s">
        <v>1415</v>
      </c>
      <c r="G96" t="s">
        <v>1499</v>
      </c>
      <c r="H96" s="172">
        <v>45748</v>
      </c>
      <c r="I96" t="s">
        <v>1435</v>
      </c>
      <c r="J96" s="172">
        <v>45505</v>
      </c>
      <c r="K96" s="172">
        <v>45505</v>
      </c>
      <c r="L96" s="172">
        <v>45505</v>
      </c>
      <c r="M96" s="172">
        <v>45618</v>
      </c>
      <c r="N96" s="172">
        <v>45646</v>
      </c>
      <c r="O96" s="12" t="s">
        <v>1753</v>
      </c>
      <c r="P96" t="s">
        <v>1419</v>
      </c>
      <c r="Q96" t="s">
        <v>1234</v>
      </c>
      <c r="R96" t="s">
        <v>1453</v>
      </c>
      <c r="S96" t="s">
        <v>1754</v>
      </c>
      <c r="T96" t="s">
        <v>1755</v>
      </c>
    </row>
    <row r="97" spans="1:20">
      <c r="A97" s="12" t="s">
        <v>1016</v>
      </c>
      <c r="B97" t="s">
        <v>1756</v>
      </c>
      <c r="C97" t="s">
        <v>321</v>
      </c>
      <c r="D97" t="s">
        <v>1530</v>
      </c>
      <c r="E97" t="s">
        <v>994</v>
      </c>
      <c r="F97" t="s">
        <v>1415</v>
      </c>
      <c r="G97" t="s">
        <v>1506</v>
      </c>
      <c r="H97" s="172">
        <v>46013</v>
      </c>
      <c r="I97" t="s">
        <v>1417</v>
      </c>
      <c r="J97" s="172">
        <v>45510</v>
      </c>
      <c r="K97" s="172">
        <v>45624</v>
      </c>
      <c r="L97" s="172">
        <v>45526</v>
      </c>
      <c r="M97" s="172">
        <v>45572</v>
      </c>
      <c r="N97" s="172">
        <v>45637</v>
      </c>
      <c r="O97" s="12" t="s">
        <v>1757</v>
      </c>
      <c r="P97" t="s">
        <v>1419</v>
      </c>
      <c r="Q97" t="s">
        <v>1234</v>
      </c>
      <c r="R97" t="s">
        <v>1234</v>
      </c>
      <c r="S97" t="s">
        <v>1754</v>
      </c>
      <c r="T97" t="s">
        <v>1419</v>
      </c>
    </row>
    <row r="98" spans="1:20">
      <c r="A98" s="12" t="s">
        <v>1086</v>
      </c>
      <c r="B98" t="s">
        <v>1758</v>
      </c>
      <c r="C98" t="s">
        <v>786</v>
      </c>
      <c r="D98" t="s">
        <v>1493</v>
      </c>
      <c r="E98" t="s">
        <v>994</v>
      </c>
      <c r="F98" t="s">
        <v>1415</v>
      </c>
      <c r="G98" t="s">
        <v>1499</v>
      </c>
      <c r="H98" s="172">
        <v>46013</v>
      </c>
      <c r="I98" t="s">
        <v>1417</v>
      </c>
      <c r="J98" s="172">
        <v>45338</v>
      </c>
      <c r="K98" s="172">
        <v>45338</v>
      </c>
      <c r="L98" s="172">
        <v>45443</v>
      </c>
      <c r="M98" s="172">
        <v>45618</v>
      </c>
      <c r="N98" s="172">
        <v>45645</v>
      </c>
      <c r="O98" s="12" t="s">
        <v>1759</v>
      </c>
      <c r="P98" t="s">
        <v>5</v>
      </c>
      <c r="Q98" t="s">
        <v>1234</v>
      </c>
      <c r="R98" t="s">
        <v>1234</v>
      </c>
      <c r="S98" t="s">
        <v>1754</v>
      </c>
      <c r="T98" t="s">
        <v>1419</v>
      </c>
    </row>
    <row r="99" spans="1:20">
      <c r="A99" s="12" t="s">
        <v>1760</v>
      </c>
      <c r="B99" t="s">
        <v>1761</v>
      </c>
      <c r="C99" t="s">
        <v>321</v>
      </c>
      <c r="D99" t="s">
        <v>1530</v>
      </c>
      <c r="E99" t="s">
        <v>994</v>
      </c>
      <c r="F99" t="s">
        <v>1415</v>
      </c>
      <c r="G99" t="s">
        <v>1473</v>
      </c>
      <c r="H99" s="172">
        <v>46013</v>
      </c>
      <c r="I99" t="s">
        <v>1417</v>
      </c>
      <c r="J99" s="172">
        <v>45551</v>
      </c>
      <c r="K99" s="172">
        <v>45562</v>
      </c>
      <c r="L99" s="172">
        <v>45562</v>
      </c>
      <c r="M99" s="172">
        <v>45597</v>
      </c>
      <c r="N99" s="172">
        <v>45618</v>
      </c>
      <c r="O99" s="12" t="s">
        <v>1762</v>
      </c>
      <c r="P99" t="s">
        <v>1419</v>
      </c>
      <c r="Q99" t="s">
        <v>1234</v>
      </c>
      <c r="R99" t="s">
        <v>1234</v>
      </c>
      <c r="S99" t="s">
        <v>1754</v>
      </c>
      <c r="T99" t="s">
        <v>1763</v>
      </c>
    </row>
    <row r="100" spans="1:20">
      <c r="A100" s="12" t="s">
        <v>1764</v>
      </c>
      <c r="B100" t="s">
        <v>1765</v>
      </c>
      <c r="C100" t="s">
        <v>786</v>
      </c>
      <c r="D100" t="s">
        <v>1493</v>
      </c>
      <c r="E100" t="s">
        <v>994</v>
      </c>
      <c r="F100" t="s">
        <v>1415</v>
      </c>
      <c r="G100" t="s">
        <v>1415</v>
      </c>
      <c r="H100" s="172">
        <v>46013</v>
      </c>
      <c r="I100" t="s">
        <v>1417</v>
      </c>
      <c r="J100" s="172">
        <v>45499</v>
      </c>
      <c r="K100" s="172">
        <v>45499</v>
      </c>
      <c r="L100" s="172">
        <v>45555</v>
      </c>
      <c r="M100" s="172">
        <v>45569</v>
      </c>
      <c r="N100" s="172">
        <v>45634</v>
      </c>
      <c r="O100" s="12" t="s">
        <v>1766</v>
      </c>
      <c r="P100" t="s">
        <v>1419</v>
      </c>
      <c r="Q100" t="s">
        <v>1234</v>
      </c>
      <c r="R100" t="s">
        <v>1234</v>
      </c>
      <c r="S100" t="s">
        <v>1754</v>
      </c>
      <c r="T100" t="s">
        <v>1419</v>
      </c>
    </row>
    <row r="101" spans="1:20">
      <c r="A101" s="12" t="s">
        <v>1069</v>
      </c>
      <c r="B101" t="s">
        <v>1767</v>
      </c>
      <c r="C101" t="s">
        <v>1442</v>
      </c>
      <c r="D101" t="s">
        <v>1768</v>
      </c>
      <c r="E101" t="s">
        <v>994</v>
      </c>
      <c r="F101" t="s">
        <v>1415</v>
      </c>
      <c r="G101" t="s">
        <v>1415</v>
      </c>
      <c r="H101" s="172">
        <v>46013</v>
      </c>
      <c r="I101" t="s">
        <v>1417</v>
      </c>
      <c r="J101" s="172">
        <v>45561</v>
      </c>
      <c r="K101" s="172">
        <v>45580</v>
      </c>
      <c r="L101" s="172">
        <v>45611</v>
      </c>
      <c r="M101" s="172">
        <v>45622</v>
      </c>
      <c r="N101" s="172">
        <v>45625</v>
      </c>
      <c r="O101" s="12" t="s">
        <v>1769</v>
      </c>
      <c r="P101" t="s">
        <v>1419</v>
      </c>
      <c r="Q101" t="s">
        <v>1234</v>
      </c>
      <c r="R101" t="s">
        <v>1234</v>
      </c>
      <c r="S101" t="s">
        <v>1754</v>
      </c>
      <c r="T101" t="s">
        <v>1419</v>
      </c>
    </row>
    <row r="102" spans="1:20">
      <c r="A102" s="12" t="s">
        <v>301</v>
      </c>
      <c r="B102" t="s">
        <v>1770</v>
      </c>
      <c r="C102" t="s">
        <v>1662</v>
      </c>
      <c r="D102" t="s">
        <v>1663</v>
      </c>
      <c r="E102" t="s">
        <v>994</v>
      </c>
      <c r="F102" t="s">
        <v>1415</v>
      </c>
      <c r="G102" t="s">
        <v>1499</v>
      </c>
      <c r="H102" s="172">
        <v>45992</v>
      </c>
      <c r="I102" t="s">
        <v>1435</v>
      </c>
      <c r="J102" s="172">
        <v>45579</v>
      </c>
      <c r="K102" s="172">
        <v>45579</v>
      </c>
      <c r="L102" s="172">
        <v>45590</v>
      </c>
      <c r="M102" s="172">
        <v>45639</v>
      </c>
      <c r="N102" s="172">
        <v>45646</v>
      </c>
      <c r="O102" s="12" t="s">
        <v>1771</v>
      </c>
      <c r="P102" t="s">
        <v>1419</v>
      </c>
      <c r="Q102" t="s">
        <v>1234</v>
      </c>
      <c r="R102" t="s">
        <v>1234</v>
      </c>
      <c r="S102" t="s">
        <v>1772</v>
      </c>
      <c r="T102" t="s">
        <v>1773</v>
      </c>
    </row>
    <row r="103" spans="1:20">
      <c r="A103" s="12" t="s">
        <v>1774</v>
      </c>
      <c r="B103" t="s">
        <v>1775</v>
      </c>
      <c r="C103" t="s">
        <v>1704</v>
      </c>
      <c r="D103" t="s">
        <v>1776</v>
      </c>
      <c r="E103" t="s">
        <v>994</v>
      </c>
      <c r="F103" t="s">
        <v>1415</v>
      </c>
      <c r="G103" t="s">
        <v>1415</v>
      </c>
      <c r="H103" s="172">
        <v>45992</v>
      </c>
      <c r="I103" t="s">
        <v>1417</v>
      </c>
      <c r="J103" s="172">
        <v>45631</v>
      </c>
      <c r="K103" s="172">
        <v>45631</v>
      </c>
      <c r="L103" s="172">
        <v>45631</v>
      </c>
      <c r="M103" s="172">
        <v>45631</v>
      </c>
      <c r="N103" s="172">
        <v>45638</v>
      </c>
      <c r="O103" s="12" t="s">
        <v>618</v>
      </c>
      <c r="P103" t="s">
        <v>1419</v>
      </c>
      <c r="Q103" t="s">
        <v>1234</v>
      </c>
      <c r="R103" t="s">
        <v>1234</v>
      </c>
      <c r="S103" t="s">
        <v>1772</v>
      </c>
      <c r="T103" t="s">
        <v>1419</v>
      </c>
    </row>
    <row r="104" spans="1:20">
      <c r="A104" s="12" t="s">
        <v>999</v>
      </c>
      <c r="B104" t="s">
        <v>1777</v>
      </c>
      <c r="C104" t="s">
        <v>1497</v>
      </c>
      <c r="D104" t="s">
        <v>1778</v>
      </c>
      <c r="E104" t="s">
        <v>1414</v>
      </c>
      <c r="F104" t="s">
        <v>1415</v>
      </c>
      <c r="G104" t="s">
        <v>1489</v>
      </c>
      <c r="H104" s="172">
        <v>45992</v>
      </c>
      <c r="I104" t="s">
        <v>1417</v>
      </c>
      <c r="J104" s="172">
        <v>45600</v>
      </c>
      <c r="K104" s="172">
        <v>45600</v>
      </c>
      <c r="L104" s="172">
        <v>45603</v>
      </c>
      <c r="M104" s="172">
        <v>45623</v>
      </c>
      <c r="N104" s="172">
        <v>45673</v>
      </c>
      <c r="O104" s="12" t="s">
        <v>1779</v>
      </c>
      <c r="P104" t="s">
        <v>1419</v>
      </c>
      <c r="Q104" t="s">
        <v>1234</v>
      </c>
      <c r="R104" t="s">
        <v>1234</v>
      </c>
      <c r="S104" t="s">
        <v>1780</v>
      </c>
      <c r="T104" t="s">
        <v>1781</v>
      </c>
    </row>
    <row r="105" spans="1:20">
      <c r="A105" s="12" t="s">
        <v>1782</v>
      </c>
      <c r="B105" t="s">
        <v>1783</v>
      </c>
      <c r="C105" t="s">
        <v>1497</v>
      </c>
      <c r="D105" t="s">
        <v>1498</v>
      </c>
      <c r="E105" t="s">
        <v>994</v>
      </c>
      <c r="F105" t="s">
        <v>1415</v>
      </c>
      <c r="G105" t="s">
        <v>1415</v>
      </c>
      <c r="H105" s="172">
        <v>45992</v>
      </c>
      <c r="I105" t="s">
        <v>1435</v>
      </c>
      <c r="J105" s="172">
        <v>45525</v>
      </c>
      <c r="K105" s="172">
        <v>45525</v>
      </c>
      <c r="L105" s="172">
        <v>45525</v>
      </c>
      <c r="M105" s="172">
        <v>45618</v>
      </c>
      <c r="N105" s="172">
        <v>45637</v>
      </c>
      <c r="O105" s="12" t="s">
        <v>1784</v>
      </c>
      <c r="P105" t="s">
        <v>1419</v>
      </c>
      <c r="Q105" t="s">
        <v>1234</v>
      </c>
      <c r="R105" t="s">
        <v>1234</v>
      </c>
      <c r="S105" t="s">
        <v>1780</v>
      </c>
      <c r="T105" t="s">
        <v>1785</v>
      </c>
    </row>
    <row r="106" spans="1:20">
      <c r="A106" s="12" t="s">
        <v>1009</v>
      </c>
      <c r="B106" t="s">
        <v>1786</v>
      </c>
      <c r="C106" t="s">
        <v>642</v>
      </c>
      <c r="D106" t="s">
        <v>1429</v>
      </c>
      <c r="E106" t="s">
        <v>994</v>
      </c>
      <c r="F106" t="s">
        <v>1415</v>
      </c>
      <c r="G106" t="s">
        <v>1499</v>
      </c>
      <c r="H106" s="172">
        <v>45665</v>
      </c>
      <c r="I106" t="s">
        <v>1435</v>
      </c>
      <c r="J106" s="172">
        <v>45596</v>
      </c>
      <c r="K106" s="172">
        <v>45615</v>
      </c>
      <c r="L106" s="172">
        <v>45596</v>
      </c>
      <c r="M106" s="172">
        <v>45607</v>
      </c>
      <c r="N106" s="172">
        <v>45631</v>
      </c>
      <c r="O106" s="12" t="s">
        <v>1787</v>
      </c>
      <c r="P106" t="s">
        <v>1366</v>
      </c>
      <c r="Q106" t="s">
        <v>1234</v>
      </c>
      <c r="R106" t="s">
        <v>1234</v>
      </c>
      <c r="S106" t="s">
        <v>1788</v>
      </c>
      <c r="T106" t="s">
        <v>1789</v>
      </c>
    </row>
    <row r="107" spans="1:20">
      <c r="A107" s="12" t="s">
        <v>1790</v>
      </c>
      <c r="B107" t="s">
        <v>1791</v>
      </c>
      <c r="C107" t="s">
        <v>642</v>
      </c>
      <c r="D107" t="s">
        <v>1429</v>
      </c>
      <c r="E107" t="s">
        <v>994</v>
      </c>
      <c r="F107" t="s">
        <v>1415</v>
      </c>
      <c r="G107" t="s">
        <v>1473</v>
      </c>
      <c r="H107" s="172">
        <v>45665</v>
      </c>
      <c r="I107" t="s">
        <v>1571</v>
      </c>
      <c r="J107" s="172">
        <v>45502</v>
      </c>
      <c r="K107" s="172">
        <v>45502</v>
      </c>
      <c r="L107" s="172">
        <v>45502</v>
      </c>
      <c r="M107" s="172">
        <v>45597</v>
      </c>
      <c r="N107" s="172">
        <v>45631</v>
      </c>
      <c r="O107" s="12" t="s">
        <v>1792</v>
      </c>
      <c r="P107" t="s">
        <v>1419</v>
      </c>
      <c r="Q107" t="s">
        <v>1234</v>
      </c>
      <c r="R107" t="s">
        <v>1234</v>
      </c>
      <c r="S107" t="s">
        <v>1788</v>
      </c>
      <c r="T107" t="s">
        <v>1793</v>
      </c>
    </row>
    <row r="108" spans="1:20">
      <c r="A108" s="12" t="s">
        <v>1794</v>
      </c>
      <c r="B108" t="s">
        <v>1795</v>
      </c>
      <c r="C108" t="s">
        <v>321</v>
      </c>
      <c r="D108" t="s">
        <v>1530</v>
      </c>
      <c r="E108" t="s">
        <v>994</v>
      </c>
      <c r="F108" t="s">
        <v>1415</v>
      </c>
      <c r="G108" t="s">
        <v>1415</v>
      </c>
      <c r="H108" s="172">
        <v>45693</v>
      </c>
      <c r="I108" t="s">
        <v>1417</v>
      </c>
      <c r="J108" s="172">
        <v>45670</v>
      </c>
      <c r="K108" s="172">
        <v>45670</v>
      </c>
      <c r="L108" s="172">
        <v>45670</v>
      </c>
      <c r="M108" s="172">
        <v>45670</v>
      </c>
      <c r="N108" s="172">
        <v>45673</v>
      </c>
      <c r="O108" s="12" t="s">
        <v>618</v>
      </c>
      <c r="P108" t="s">
        <v>1419</v>
      </c>
      <c r="Q108" t="s">
        <v>1234</v>
      </c>
      <c r="R108" t="s">
        <v>994</v>
      </c>
      <c r="S108" t="s">
        <v>1788</v>
      </c>
      <c r="T108" t="s">
        <v>1796</v>
      </c>
    </row>
    <row r="109" spans="1:20">
      <c r="A109" s="12" t="s">
        <v>1047</v>
      </c>
      <c r="B109" t="s">
        <v>1797</v>
      </c>
      <c r="C109" t="s">
        <v>642</v>
      </c>
      <c r="D109" t="s">
        <v>1429</v>
      </c>
      <c r="E109" t="s">
        <v>994</v>
      </c>
      <c r="F109" t="s">
        <v>1415</v>
      </c>
      <c r="G109" t="s">
        <v>1473</v>
      </c>
      <c r="H109" s="172">
        <v>45665</v>
      </c>
      <c r="I109" t="s">
        <v>1417</v>
      </c>
      <c r="J109" s="172">
        <v>45616</v>
      </c>
      <c r="K109" s="172">
        <v>45643</v>
      </c>
      <c r="L109" s="172">
        <v>45616</v>
      </c>
      <c r="M109" s="172">
        <v>45616</v>
      </c>
      <c r="N109" s="172">
        <v>45628</v>
      </c>
      <c r="O109" s="12" t="s">
        <v>1798</v>
      </c>
      <c r="P109" t="s">
        <v>1419</v>
      </c>
      <c r="Q109" t="s">
        <v>1234</v>
      </c>
      <c r="R109" t="s">
        <v>1234</v>
      </c>
      <c r="S109" t="s">
        <v>1788</v>
      </c>
      <c r="T109" t="s">
        <v>1799</v>
      </c>
    </row>
    <row r="110" spans="1:20">
      <c r="A110" s="12" t="s">
        <v>1800</v>
      </c>
      <c r="B110" t="s">
        <v>1801</v>
      </c>
      <c r="C110" t="s">
        <v>321</v>
      </c>
      <c r="D110" t="s">
        <v>1530</v>
      </c>
      <c r="E110" t="s">
        <v>994</v>
      </c>
      <c r="F110" t="s">
        <v>1415</v>
      </c>
      <c r="G110" t="s">
        <v>1415</v>
      </c>
      <c r="H110" s="172">
        <v>45962</v>
      </c>
      <c r="I110" t="s">
        <v>1417</v>
      </c>
      <c r="J110" s="172">
        <v>45639</v>
      </c>
      <c r="K110" s="172">
        <v>45639</v>
      </c>
      <c r="L110" s="172">
        <v>45639</v>
      </c>
      <c r="M110" s="172">
        <v>45688</v>
      </c>
      <c r="N110" s="172">
        <v>45639</v>
      </c>
      <c r="O110" s="12" t="s">
        <v>1458</v>
      </c>
      <c r="P110" t="s">
        <v>1419</v>
      </c>
      <c r="Q110" t="s">
        <v>1234</v>
      </c>
      <c r="R110" t="s">
        <v>1234</v>
      </c>
      <c r="S110" t="s">
        <v>1788</v>
      </c>
      <c r="T110" t="s">
        <v>1419</v>
      </c>
    </row>
    <row r="111" spans="1:20">
      <c r="A111" s="12" t="s">
        <v>1018</v>
      </c>
      <c r="B111" t="s">
        <v>1802</v>
      </c>
      <c r="C111" t="s">
        <v>1704</v>
      </c>
      <c r="D111" t="s">
        <v>1705</v>
      </c>
      <c r="E111" t="s">
        <v>994</v>
      </c>
      <c r="F111" t="s">
        <v>1415</v>
      </c>
      <c r="G111" t="s">
        <v>1415</v>
      </c>
      <c r="H111" s="172">
        <v>45679</v>
      </c>
      <c r="I111" t="s">
        <v>1435</v>
      </c>
      <c r="J111" s="172">
        <v>45497</v>
      </c>
      <c r="K111" s="172">
        <v>45499</v>
      </c>
      <c r="L111" s="172">
        <v>45499</v>
      </c>
      <c r="M111" s="172">
        <v>45527</v>
      </c>
      <c r="N111" s="172">
        <v>45548</v>
      </c>
      <c r="O111" s="12" t="s">
        <v>1803</v>
      </c>
      <c r="P111" t="s">
        <v>1366</v>
      </c>
      <c r="Q111" t="s">
        <v>1234</v>
      </c>
      <c r="R111" t="s">
        <v>1234</v>
      </c>
      <c r="S111" t="s">
        <v>1804</v>
      </c>
      <c r="T111" t="s">
        <v>1805</v>
      </c>
    </row>
    <row r="112" spans="1:20">
      <c r="A112" s="12" t="s">
        <v>1001</v>
      </c>
      <c r="B112" t="s">
        <v>1806</v>
      </c>
      <c r="C112" t="s">
        <v>642</v>
      </c>
      <c r="D112" t="s">
        <v>1429</v>
      </c>
      <c r="E112" t="s">
        <v>994</v>
      </c>
      <c r="F112" t="s">
        <v>1415</v>
      </c>
      <c r="G112" t="s">
        <v>1425</v>
      </c>
      <c r="H112" s="172">
        <v>45665</v>
      </c>
      <c r="I112" t="s">
        <v>1435</v>
      </c>
      <c r="J112" s="172">
        <v>45537</v>
      </c>
      <c r="K112" s="172">
        <v>45576</v>
      </c>
      <c r="L112" s="172">
        <v>45576</v>
      </c>
      <c r="M112" s="172">
        <v>45614</v>
      </c>
      <c r="N112" s="172">
        <v>45678</v>
      </c>
      <c r="O112" s="12" t="s">
        <v>1807</v>
      </c>
      <c r="P112" t="s">
        <v>1366</v>
      </c>
      <c r="Q112" t="s">
        <v>1234</v>
      </c>
      <c r="R112" t="s">
        <v>1453</v>
      </c>
      <c r="S112" t="s">
        <v>1804</v>
      </c>
      <c r="T112" t="s">
        <v>1808</v>
      </c>
    </row>
    <row r="113" spans="1:20">
      <c r="A113" s="12" t="s">
        <v>1073</v>
      </c>
      <c r="B113" t="s">
        <v>1809</v>
      </c>
      <c r="C113" t="s">
        <v>1545</v>
      </c>
      <c r="D113" t="s">
        <v>1600</v>
      </c>
      <c r="E113" t="s">
        <v>994</v>
      </c>
      <c r="F113" t="s">
        <v>1415</v>
      </c>
      <c r="G113" t="s">
        <v>1415</v>
      </c>
      <c r="H113" s="172">
        <v>45679</v>
      </c>
      <c r="I113" t="s">
        <v>1417</v>
      </c>
      <c r="J113" s="172">
        <v>45630</v>
      </c>
      <c r="K113" s="172">
        <v>45630</v>
      </c>
      <c r="L113" s="172">
        <v>45630</v>
      </c>
      <c r="M113" s="172">
        <v>45667</v>
      </c>
      <c r="N113" s="172">
        <v>45723</v>
      </c>
      <c r="O113" s="12" t="s">
        <v>1810</v>
      </c>
      <c r="P113" t="s">
        <v>1366</v>
      </c>
      <c r="Q113" t="s">
        <v>1234</v>
      </c>
      <c r="R113" t="s">
        <v>1453</v>
      </c>
      <c r="S113" t="s">
        <v>1804</v>
      </c>
      <c r="T113" t="s">
        <v>1811</v>
      </c>
    </row>
    <row r="114" spans="1:20">
      <c r="A114" s="12" t="s">
        <v>1088</v>
      </c>
      <c r="B114" t="s">
        <v>1812</v>
      </c>
      <c r="C114" t="s">
        <v>1497</v>
      </c>
      <c r="D114" t="s">
        <v>1778</v>
      </c>
      <c r="E114" t="s">
        <v>994</v>
      </c>
      <c r="F114" t="s">
        <v>1415</v>
      </c>
      <c r="G114" t="s">
        <v>1473</v>
      </c>
      <c r="H114" s="172">
        <v>45679</v>
      </c>
      <c r="I114" t="s">
        <v>1417</v>
      </c>
      <c r="J114" s="172">
        <v>45030</v>
      </c>
      <c r="K114" s="172">
        <v>45030</v>
      </c>
      <c r="L114" s="172">
        <v>45030</v>
      </c>
      <c r="M114" s="172">
        <v>45581</v>
      </c>
      <c r="N114" s="172">
        <v>45624</v>
      </c>
      <c r="O114" s="12" t="s">
        <v>1813</v>
      </c>
      <c r="P114" t="s">
        <v>1419</v>
      </c>
      <c r="Q114" t="s">
        <v>1234</v>
      </c>
      <c r="R114" t="s">
        <v>1453</v>
      </c>
      <c r="S114" t="s">
        <v>1804</v>
      </c>
      <c r="T114" t="s">
        <v>1814</v>
      </c>
    </row>
    <row r="115" spans="1:20">
      <c r="A115" s="12" t="s">
        <v>1815</v>
      </c>
      <c r="B115" t="s">
        <v>1816</v>
      </c>
      <c r="C115" t="s">
        <v>642</v>
      </c>
      <c r="D115" t="s">
        <v>1429</v>
      </c>
      <c r="E115" t="s">
        <v>994</v>
      </c>
      <c r="F115" t="s">
        <v>1415</v>
      </c>
      <c r="G115" t="s">
        <v>1506</v>
      </c>
      <c r="H115" s="172">
        <v>45665</v>
      </c>
      <c r="I115" t="s">
        <v>1435</v>
      </c>
      <c r="J115" s="172">
        <v>45448</v>
      </c>
      <c r="K115" s="172">
        <v>45475</v>
      </c>
      <c r="L115" s="172">
        <v>45492</v>
      </c>
      <c r="M115" s="172">
        <v>45646</v>
      </c>
      <c r="N115" s="172">
        <v>45681</v>
      </c>
      <c r="O115" s="12" t="s">
        <v>1817</v>
      </c>
      <c r="P115" t="s">
        <v>1419</v>
      </c>
      <c r="Q115" t="s">
        <v>1234</v>
      </c>
      <c r="R115" t="s">
        <v>1453</v>
      </c>
      <c r="S115" t="s">
        <v>1818</v>
      </c>
      <c r="T115" t="s">
        <v>1819</v>
      </c>
    </row>
    <row r="116" spans="1:20">
      <c r="A116" s="12" t="s">
        <v>1820</v>
      </c>
      <c r="B116" t="s">
        <v>1821</v>
      </c>
      <c r="C116" t="s">
        <v>642</v>
      </c>
      <c r="D116" t="s">
        <v>1429</v>
      </c>
      <c r="E116" t="s">
        <v>994</v>
      </c>
      <c r="F116" t="s">
        <v>1415</v>
      </c>
      <c r="G116" t="s">
        <v>1415</v>
      </c>
      <c r="H116" s="172">
        <v>45665</v>
      </c>
      <c r="I116" t="s">
        <v>1435</v>
      </c>
      <c r="J116" s="172">
        <v>45070</v>
      </c>
      <c r="K116" s="172">
        <v>45086</v>
      </c>
      <c r="L116" s="172">
        <v>45079</v>
      </c>
      <c r="M116" s="172">
        <v>45555</v>
      </c>
      <c r="N116" s="172">
        <v>45681</v>
      </c>
      <c r="O116" s="12" t="s">
        <v>1822</v>
      </c>
      <c r="P116" t="s">
        <v>1419</v>
      </c>
      <c r="Q116" t="s">
        <v>1234</v>
      </c>
      <c r="R116" t="s">
        <v>1453</v>
      </c>
      <c r="S116" t="s">
        <v>1818</v>
      </c>
      <c r="T116" t="s">
        <v>1823</v>
      </c>
    </row>
    <row r="117" spans="1:20">
      <c r="A117" s="12" t="s">
        <v>1824</v>
      </c>
      <c r="B117" t="s">
        <v>1825</v>
      </c>
      <c r="C117" t="s">
        <v>642</v>
      </c>
      <c r="D117" t="s">
        <v>1429</v>
      </c>
      <c r="E117" t="s">
        <v>994</v>
      </c>
      <c r="F117" t="s">
        <v>1415</v>
      </c>
      <c r="G117" t="s">
        <v>1473</v>
      </c>
      <c r="H117" s="172">
        <v>45665</v>
      </c>
      <c r="I117" t="s">
        <v>1435</v>
      </c>
      <c r="J117" s="172">
        <v>45537</v>
      </c>
      <c r="K117" s="172">
        <v>45489</v>
      </c>
      <c r="L117" s="172">
        <v>45489</v>
      </c>
      <c r="M117" s="172">
        <v>45489</v>
      </c>
      <c r="N117" s="172">
        <v>45709</v>
      </c>
      <c r="O117" s="12" t="s">
        <v>1826</v>
      </c>
      <c r="P117" t="s">
        <v>1419</v>
      </c>
      <c r="Q117" t="s">
        <v>1234</v>
      </c>
      <c r="R117" t="s">
        <v>1453</v>
      </c>
      <c r="S117" t="s">
        <v>1818</v>
      </c>
      <c r="T117" t="s">
        <v>1827</v>
      </c>
    </row>
    <row r="118" spans="1:20">
      <c r="A118" s="12" t="s">
        <v>1055</v>
      </c>
      <c r="B118" t="s">
        <v>1828</v>
      </c>
      <c r="C118" t="s">
        <v>1487</v>
      </c>
      <c r="D118" t="s">
        <v>1488</v>
      </c>
      <c r="E118" t="s">
        <v>994</v>
      </c>
      <c r="F118" t="s">
        <v>1415</v>
      </c>
      <c r="G118" t="s">
        <v>1473</v>
      </c>
      <c r="H118" s="172">
        <v>45679</v>
      </c>
      <c r="I118" t="s">
        <v>1435</v>
      </c>
      <c r="J118" s="172">
        <v>45544</v>
      </c>
      <c r="K118" s="172">
        <v>45548</v>
      </c>
      <c r="L118" s="172">
        <v>45562</v>
      </c>
      <c r="M118" s="172">
        <v>45562</v>
      </c>
      <c r="N118" s="172">
        <v>45625</v>
      </c>
      <c r="O118" s="12" t="s">
        <v>1829</v>
      </c>
      <c r="P118" t="s">
        <v>1419</v>
      </c>
      <c r="Q118" t="s">
        <v>1234</v>
      </c>
      <c r="R118" t="s">
        <v>1234</v>
      </c>
      <c r="S118" t="s">
        <v>1830</v>
      </c>
      <c r="T118" t="s">
        <v>1831</v>
      </c>
    </row>
    <row r="119" spans="1:20">
      <c r="A119" s="12" t="s">
        <v>1832</v>
      </c>
      <c r="B119" t="s">
        <v>1833</v>
      </c>
      <c r="C119" t="s">
        <v>458</v>
      </c>
      <c r="D119" t="s">
        <v>1637</v>
      </c>
      <c r="E119" t="s">
        <v>994</v>
      </c>
      <c r="F119" t="s">
        <v>1415</v>
      </c>
      <c r="G119" t="s">
        <v>1473</v>
      </c>
      <c r="H119" s="172">
        <v>45665</v>
      </c>
      <c r="I119" t="s">
        <v>1435</v>
      </c>
      <c r="J119" s="172">
        <v>45316</v>
      </c>
      <c r="K119" s="172">
        <v>45380</v>
      </c>
      <c r="L119" s="172">
        <v>45562</v>
      </c>
      <c r="M119" s="172">
        <v>45663</v>
      </c>
      <c r="N119" s="172">
        <v>45687</v>
      </c>
      <c r="O119" s="12" t="s">
        <v>1834</v>
      </c>
      <c r="P119" t="s">
        <v>1419</v>
      </c>
      <c r="Q119" t="s">
        <v>1234</v>
      </c>
      <c r="R119" t="s">
        <v>1453</v>
      </c>
      <c r="S119" t="s">
        <v>1830</v>
      </c>
      <c r="T119" t="s">
        <v>1835</v>
      </c>
    </row>
    <row r="120" spans="1:20">
      <c r="A120" s="12" t="s">
        <v>1010</v>
      </c>
      <c r="B120" t="s">
        <v>1836</v>
      </c>
      <c r="C120" t="s">
        <v>1704</v>
      </c>
      <c r="D120" t="s">
        <v>1705</v>
      </c>
      <c r="E120" t="s">
        <v>994</v>
      </c>
      <c r="F120" t="s">
        <v>1415</v>
      </c>
      <c r="G120" t="s">
        <v>1506</v>
      </c>
      <c r="H120" s="172">
        <v>45679</v>
      </c>
      <c r="I120" t="s">
        <v>1417</v>
      </c>
      <c r="J120" s="172">
        <v>45586</v>
      </c>
      <c r="K120" s="172">
        <v>45586</v>
      </c>
      <c r="L120" s="172">
        <v>45594</v>
      </c>
      <c r="M120" s="172">
        <v>45601</v>
      </c>
      <c r="N120" s="172">
        <v>45652</v>
      </c>
      <c r="O120" s="12" t="s">
        <v>1837</v>
      </c>
      <c r="P120" t="s">
        <v>1419</v>
      </c>
      <c r="Q120" t="s">
        <v>1234</v>
      </c>
      <c r="R120" t="s">
        <v>1234</v>
      </c>
      <c r="S120" t="s">
        <v>1830</v>
      </c>
      <c r="T120" t="s">
        <v>1838</v>
      </c>
    </row>
    <row r="121" spans="1:20">
      <c r="A121" s="12" t="s">
        <v>1839</v>
      </c>
      <c r="B121" t="s">
        <v>1840</v>
      </c>
      <c r="C121" t="s">
        <v>1487</v>
      </c>
      <c r="D121" t="s">
        <v>1488</v>
      </c>
      <c r="E121" t="s">
        <v>994</v>
      </c>
      <c r="F121" t="s">
        <v>1415</v>
      </c>
      <c r="G121" t="s">
        <v>1415</v>
      </c>
      <c r="H121" s="172">
        <v>45672</v>
      </c>
      <c r="I121" t="s">
        <v>1435</v>
      </c>
      <c r="J121" s="172">
        <v>45397</v>
      </c>
      <c r="K121" s="172">
        <v>45587</v>
      </c>
      <c r="L121" s="172">
        <v>45618</v>
      </c>
      <c r="M121" s="172">
        <v>45622</v>
      </c>
      <c r="N121" s="172">
        <v>45637</v>
      </c>
      <c r="O121" s="12" t="s">
        <v>1841</v>
      </c>
      <c r="P121" t="s">
        <v>1419</v>
      </c>
      <c r="Q121" t="s">
        <v>1234</v>
      </c>
      <c r="R121" t="s">
        <v>1234</v>
      </c>
      <c r="S121" t="s">
        <v>1830</v>
      </c>
      <c r="T121" t="s">
        <v>1842</v>
      </c>
    </row>
    <row r="122" spans="1:20">
      <c r="A122" s="12" t="s">
        <v>1843</v>
      </c>
      <c r="B122" t="s">
        <v>1844</v>
      </c>
      <c r="C122" t="s">
        <v>1419</v>
      </c>
      <c r="D122" t="s">
        <v>1419</v>
      </c>
      <c r="E122" t="s">
        <v>994</v>
      </c>
      <c r="F122" t="s">
        <v>1415</v>
      </c>
      <c r="G122" t="s">
        <v>1473</v>
      </c>
      <c r="H122" s="172">
        <v>45672</v>
      </c>
      <c r="I122" t="s">
        <v>1571</v>
      </c>
      <c r="J122" s="172">
        <v>45672</v>
      </c>
      <c r="K122" s="172"/>
      <c r="L122" s="172"/>
      <c r="M122" s="172"/>
      <c r="N122" s="172"/>
      <c r="O122" s="12" t="s">
        <v>618</v>
      </c>
      <c r="P122" t="s">
        <v>1419</v>
      </c>
      <c r="Q122" t="s">
        <v>994</v>
      </c>
      <c r="R122" t="s">
        <v>994</v>
      </c>
      <c r="S122" t="s">
        <v>1845</v>
      </c>
      <c r="T122" t="s">
        <v>1419</v>
      </c>
    </row>
    <row r="123" spans="1:20">
      <c r="A123" s="12" t="s">
        <v>1846</v>
      </c>
      <c r="B123" t="s">
        <v>1847</v>
      </c>
      <c r="C123" t="s">
        <v>458</v>
      </c>
      <c r="D123" t="s">
        <v>1637</v>
      </c>
      <c r="E123" t="s">
        <v>994</v>
      </c>
      <c r="F123" t="s">
        <v>1415</v>
      </c>
      <c r="G123" t="s">
        <v>1415</v>
      </c>
      <c r="H123" s="172">
        <v>45686</v>
      </c>
      <c r="I123" t="s">
        <v>1571</v>
      </c>
      <c r="J123" s="172"/>
      <c r="K123" s="172"/>
      <c r="L123" s="172"/>
      <c r="M123" s="172"/>
      <c r="N123" s="172"/>
      <c r="O123" s="12" t="s">
        <v>618</v>
      </c>
      <c r="P123" t="s">
        <v>1419</v>
      </c>
      <c r="Q123" t="s">
        <v>994</v>
      </c>
      <c r="R123" t="s">
        <v>994</v>
      </c>
      <c r="S123" t="s">
        <v>1845</v>
      </c>
      <c r="T123" t="s">
        <v>1848</v>
      </c>
    </row>
    <row r="124" spans="1:20">
      <c r="A124" s="12" t="s">
        <v>1061</v>
      </c>
      <c r="B124" t="s">
        <v>1849</v>
      </c>
      <c r="C124" t="s">
        <v>1662</v>
      </c>
      <c r="D124" t="s">
        <v>1663</v>
      </c>
      <c r="E124" t="s">
        <v>994</v>
      </c>
      <c r="F124" t="s">
        <v>1415</v>
      </c>
      <c r="G124" t="s">
        <v>1415</v>
      </c>
      <c r="H124" s="172">
        <v>45679</v>
      </c>
      <c r="I124" t="s">
        <v>1435</v>
      </c>
      <c r="J124" s="172"/>
      <c r="K124" s="172"/>
      <c r="L124" s="172"/>
      <c r="M124" s="172"/>
      <c r="N124" s="172"/>
      <c r="O124" s="12" t="s">
        <v>618</v>
      </c>
      <c r="P124" t="s">
        <v>1419</v>
      </c>
      <c r="Q124" t="s">
        <v>994</v>
      </c>
      <c r="R124" t="s">
        <v>994</v>
      </c>
      <c r="S124" t="s">
        <v>1845</v>
      </c>
      <c r="T124" t="s">
        <v>1850</v>
      </c>
    </row>
    <row r="125" spans="1:20">
      <c r="A125" s="12" t="s">
        <v>1045</v>
      </c>
      <c r="B125" t="s">
        <v>1851</v>
      </c>
      <c r="C125" t="s">
        <v>642</v>
      </c>
      <c r="D125" t="s">
        <v>1429</v>
      </c>
      <c r="E125" t="s">
        <v>994</v>
      </c>
      <c r="F125" t="s">
        <v>1415</v>
      </c>
      <c r="G125" t="s">
        <v>1506</v>
      </c>
      <c r="H125" s="172">
        <v>45665</v>
      </c>
      <c r="I125" t="s">
        <v>1417</v>
      </c>
      <c r="J125" s="172">
        <v>45616</v>
      </c>
      <c r="K125" s="172">
        <v>45637</v>
      </c>
      <c r="L125" s="172">
        <v>45674</v>
      </c>
      <c r="M125" s="172"/>
      <c r="N125" s="172"/>
      <c r="O125" s="12" t="s">
        <v>1852</v>
      </c>
      <c r="P125" t="s">
        <v>1419</v>
      </c>
      <c r="Q125" t="s">
        <v>1453</v>
      </c>
      <c r="R125" t="s">
        <v>994</v>
      </c>
      <c r="S125" t="s">
        <v>1845</v>
      </c>
      <c r="T125" t="s">
        <v>1853</v>
      </c>
    </row>
    <row r="126" spans="1:20">
      <c r="A126" s="12" t="s">
        <v>1854</v>
      </c>
      <c r="B126" t="s">
        <v>1855</v>
      </c>
      <c r="C126" t="s">
        <v>1521</v>
      </c>
      <c r="D126" t="s">
        <v>1522</v>
      </c>
      <c r="E126" t="s">
        <v>994</v>
      </c>
      <c r="F126" t="s">
        <v>1415</v>
      </c>
      <c r="G126" t="s">
        <v>1473</v>
      </c>
      <c r="H126" s="172">
        <v>45672</v>
      </c>
      <c r="I126" t="s">
        <v>1435</v>
      </c>
      <c r="J126" s="172"/>
      <c r="K126" s="172"/>
      <c r="L126" s="172"/>
      <c r="M126" s="172"/>
      <c r="N126" s="172"/>
      <c r="O126" s="12" t="s">
        <v>618</v>
      </c>
      <c r="P126" t="s">
        <v>1419</v>
      </c>
      <c r="Q126" t="s">
        <v>994</v>
      </c>
      <c r="R126" t="s">
        <v>994</v>
      </c>
      <c r="S126" t="s">
        <v>1845</v>
      </c>
      <c r="T126" t="s">
        <v>1856</v>
      </c>
    </row>
    <row r="127" spans="1:20">
      <c r="A127" s="12" t="s">
        <v>473</v>
      </c>
      <c r="B127" t="s">
        <v>949</v>
      </c>
      <c r="C127" t="s">
        <v>642</v>
      </c>
      <c r="D127" t="s">
        <v>1429</v>
      </c>
      <c r="E127" t="s">
        <v>994</v>
      </c>
      <c r="F127" t="s">
        <v>1415</v>
      </c>
      <c r="G127" t="s">
        <v>1473</v>
      </c>
      <c r="H127" s="172">
        <v>45665</v>
      </c>
      <c r="I127" t="s">
        <v>1435</v>
      </c>
      <c r="J127" s="172">
        <v>45635</v>
      </c>
      <c r="K127" s="172">
        <v>45635</v>
      </c>
      <c r="L127" s="172">
        <v>45667</v>
      </c>
      <c r="M127" s="172"/>
      <c r="N127" s="172"/>
      <c r="O127" s="12" t="s">
        <v>1857</v>
      </c>
      <c r="P127" t="s">
        <v>1366</v>
      </c>
      <c r="Q127" t="s">
        <v>1453</v>
      </c>
      <c r="R127" t="s">
        <v>994</v>
      </c>
      <c r="S127" t="s">
        <v>1845</v>
      </c>
      <c r="T127" t="s">
        <v>1858</v>
      </c>
    </row>
    <row r="128" spans="1:20">
      <c r="A128" s="12" t="s">
        <v>1051</v>
      </c>
      <c r="B128" t="s">
        <v>1859</v>
      </c>
      <c r="C128" t="s">
        <v>1704</v>
      </c>
      <c r="D128" t="s">
        <v>1705</v>
      </c>
      <c r="E128" t="s">
        <v>994</v>
      </c>
      <c r="F128" t="s">
        <v>1415</v>
      </c>
      <c r="G128" t="s">
        <v>1415</v>
      </c>
      <c r="H128" s="172">
        <v>45672</v>
      </c>
      <c r="I128" t="s">
        <v>1417</v>
      </c>
      <c r="J128" s="172">
        <v>45612</v>
      </c>
      <c r="K128" s="172">
        <v>45618</v>
      </c>
      <c r="L128" s="172">
        <v>45625</v>
      </c>
      <c r="M128" s="172">
        <v>45625</v>
      </c>
      <c r="N128" s="172">
        <v>45625</v>
      </c>
      <c r="O128" s="12" t="s">
        <v>1769</v>
      </c>
      <c r="P128" t="s">
        <v>1419</v>
      </c>
      <c r="Q128" t="s">
        <v>1234</v>
      </c>
      <c r="R128" t="s">
        <v>1234</v>
      </c>
      <c r="S128" t="s">
        <v>1845</v>
      </c>
      <c r="T128" t="s">
        <v>1860</v>
      </c>
    </row>
    <row r="129" spans="1:20">
      <c r="A129" s="12" t="s">
        <v>1050</v>
      </c>
      <c r="B129" t="s">
        <v>1861</v>
      </c>
      <c r="C129" t="s">
        <v>321</v>
      </c>
      <c r="D129" t="s">
        <v>1530</v>
      </c>
      <c r="E129" t="s">
        <v>994</v>
      </c>
      <c r="F129" t="s">
        <v>1415</v>
      </c>
      <c r="G129" t="s">
        <v>1473</v>
      </c>
      <c r="H129" s="172">
        <v>45679</v>
      </c>
      <c r="I129" t="s">
        <v>1435</v>
      </c>
      <c r="J129" s="172">
        <v>45601</v>
      </c>
      <c r="K129" s="172">
        <v>45601</v>
      </c>
      <c r="L129" s="172">
        <v>45644</v>
      </c>
      <c r="M129" s="172"/>
      <c r="N129" s="172"/>
      <c r="O129" s="12" t="s">
        <v>1862</v>
      </c>
      <c r="P129" t="s">
        <v>1366</v>
      </c>
      <c r="Q129" t="s">
        <v>1453</v>
      </c>
      <c r="R129" t="s">
        <v>994</v>
      </c>
      <c r="S129" t="s">
        <v>1845</v>
      </c>
      <c r="T129" t="s">
        <v>1863</v>
      </c>
    </row>
    <row r="130" spans="1:20">
      <c r="A130" s="12" t="s">
        <v>1864</v>
      </c>
      <c r="B130" t="s">
        <v>1865</v>
      </c>
      <c r="C130" t="s">
        <v>642</v>
      </c>
      <c r="D130" t="s">
        <v>1429</v>
      </c>
      <c r="E130" t="s">
        <v>994</v>
      </c>
      <c r="F130" t="s">
        <v>1415</v>
      </c>
      <c r="G130" t="s">
        <v>1866</v>
      </c>
      <c r="H130" s="172">
        <v>45670</v>
      </c>
      <c r="I130" t="s">
        <v>1571</v>
      </c>
      <c r="J130" s="172">
        <v>45343</v>
      </c>
      <c r="K130" s="172">
        <v>45460</v>
      </c>
      <c r="L130" s="172">
        <v>45667</v>
      </c>
      <c r="M130" s="172"/>
      <c r="N130" s="172"/>
      <c r="O130" s="12" t="s">
        <v>1867</v>
      </c>
      <c r="P130" t="s">
        <v>1419</v>
      </c>
      <c r="Q130" t="s">
        <v>1453</v>
      </c>
      <c r="R130" t="s">
        <v>994</v>
      </c>
      <c r="S130" t="s">
        <v>1845</v>
      </c>
      <c r="T130" t="s">
        <v>1868</v>
      </c>
    </row>
    <row r="131" spans="1:20">
      <c r="A131" s="12" t="s">
        <v>1121</v>
      </c>
      <c r="B131" t="s">
        <v>1869</v>
      </c>
      <c r="C131" t="s">
        <v>642</v>
      </c>
      <c r="D131" t="s">
        <v>1429</v>
      </c>
      <c r="E131" t="s">
        <v>994</v>
      </c>
      <c r="F131" t="s">
        <v>1415</v>
      </c>
      <c r="G131" t="s">
        <v>1473</v>
      </c>
      <c r="H131" s="172">
        <v>45665</v>
      </c>
      <c r="I131" t="s">
        <v>1435</v>
      </c>
      <c r="J131" s="172">
        <v>45565</v>
      </c>
      <c r="K131" s="172"/>
      <c r="L131" s="172">
        <v>45632</v>
      </c>
      <c r="M131" s="172">
        <v>45681</v>
      </c>
      <c r="N131" s="172"/>
      <c r="O131" s="12" t="s">
        <v>1870</v>
      </c>
      <c r="P131" t="s">
        <v>1419</v>
      </c>
      <c r="Q131" t="s">
        <v>1234</v>
      </c>
      <c r="R131" t="s">
        <v>994</v>
      </c>
      <c r="S131" t="s">
        <v>1845</v>
      </c>
      <c r="T131" t="s">
        <v>1871</v>
      </c>
    </row>
    <row r="132" spans="1:20">
      <c r="A132" s="12" t="s">
        <v>1077</v>
      </c>
      <c r="B132" t="s">
        <v>1872</v>
      </c>
      <c r="C132" t="s">
        <v>1521</v>
      </c>
      <c r="D132" t="s">
        <v>1522</v>
      </c>
      <c r="E132" t="s">
        <v>994</v>
      </c>
      <c r="F132" t="s">
        <v>1415</v>
      </c>
      <c r="G132" t="s">
        <v>1473</v>
      </c>
      <c r="H132" s="172">
        <v>45672</v>
      </c>
      <c r="I132" t="s">
        <v>1435</v>
      </c>
      <c r="J132" s="172">
        <v>45672</v>
      </c>
      <c r="K132" s="172">
        <v>45672</v>
      </c>
      <c r="L132" s="172">
        <v>45681</v>
      </c>
      <c r="M132" s="172"/>
      <c r="N132" s="172"/>
      <c r="O132" s="12" t="s">
        <v>1458</v>
      </c>
      <c r="P132" t="s">
        <v>1419</v>
      </c>
      <c r="Q132" t="s">
        <v>1453</v>
      </c>
      <c r="R132" t="s">
        <v>994</v>
      </c>
      <c r="S132" t="s">
        <v>1845</v>
      </c>
      <c r="T132" t="s">
        <v>1419</v>
      </c>
    </row>
    <row r="133" spans="1:20">
      <c r="A133" s="12" t="s">
        <v>1026</v>
      </c>
      <c r="B133" t="s">
        <v>1873</v>
      </c>
      <c r="C133" t="s">
        <v>642</v>
      </c>
      <c r="D133" t="s">
        <v>1429</v>
      </c>
      <c r="E133" t="s">
        <v>994</v>
      </c>
      <c r="F133" t="s">
        <v>1415</v>
      </c>
      <c r="G133" t="s">
        <v>1499</v>
      </c>
      <c r="H133" s="172">
        <v>45665</v>
      </c>
      <c r="I133" t="s">
        <v>1435</v>
      </c>
      <c r="J133" s="172">
        <v>45505</v>
      </c>
      <c r="K133" s="172">
        <v>45597</v>
      </c>
      <c r="L133" s="172">
        <v>45597</v>
      </c>
      <c r="M133" s="172">
        <v>45674</v>
      </c>
      <c r="N133" s="172"/>
      <c r="O133" s="12" t="s">
        <v>1874</v>
      </c>
      <c r="P133" t="s">
        <v>1366</v>
      </c>
      <c r="Q133" t="s">
        <v>1234</v>
      </c>
      <c r="R133" t="s">
        <v>994</v>
      </c>
      <c r="S133" t="s">
        <v>1845</v>
      </c>
      <c r="T133" t="s">
        <v>1875</v>
      </c>
    </row>
    <row r="134" spans="1:20">
      <c r="A134" s="12" t="s">
        <v>1876</v>
      </c>
      <c r="B134" t="s">
        <v>1877</v>
      </c>
      <c r="C134" t="s">
        <v>458</v>
      </c>
      <c r="D134" t="s">
        <v>1637</v>
      </c>
      <c r="E134" t="s">
        <v>994</v>
      </c>
      <c r="F134" t="s">
        <v>1415</v>
      </c>
      <c r="G134" t="s">
        <v>1415</v>
      </c>
      <c r="H134" s="172">
        <v>45714</v>
      </c>
      <c r="I134" t="s">
        <v>1677</v>
      </c>
      <c r="J134" s="172">
        <v>44958</v>
      </c>
      <c r="K134" s="172">
        <v>45030</v>
      </c>
      <c r="L134" s="172">
        <v>45030</v>
      </c>
      <c r="M134" s="172">
        <v>45621</v>
      </c>
      <c r="N134" s="172">
        <v>45862</v>
      </c>
      <c r="O134" s="12" t="s">
        <v>1878</v>
      </c>
      <c r="P134" t="s">
        <v>1419</v>
      </c>
      <c r="Q134" t="s">
        <v>1234</v>
      </c>
      <c r="R134" t="s">
        <v>1453</v>
      </c>
      <c r="S134" t="s">
        <v>1845</v>
      </c>
      <c r="T134" t="s">
        <v>1879</v>
      </c>
    </row>
    <row r="135" spans="1:20">
      <c r="A135" s="12" t="s">
        <v>1880</v>
      </c>
      <c r="B135" t="s">
        <v>1881</v>
      </c>
      <c r="C135" t="s">
        <v>786</v>
      </c>
      <c r="D135" t="s">
        <v>1464</v>
      </c>
      <c r="E135" t="s">
        <v>1483</v>
      </c>
      <c r="F135" t="s">
        <v>1415</v>
      </c>
      <c r="G135" t="s">
        <v>1473</v>
      </c>
      <c r="H135" s="172">
        <v>45672</v>
      </c>
      <c r="I135" t="s">
        <v>1435</v>
      </c>
      <c r="J135" s="172">
        <v>45672</v>
      </c>
      <c r="K135" s="172">
        <v>45672</v>
      </c>
      <c r="L135" s="172">
        <v>45672</v>
      </c>
      <c r="M135" s="172"/>
      <c r="N135" s="172"/>
      <c r="O135" s="12" t="s">
        <v>618</v>
      </c>
      <c r="P135" t="s">
        <v>1419</v>
      </c>
      <c r="Q135" t="s">
        <v>1234</v>
      </c>
      <c r="R135" t="s">
        <v>994</v>
      </c>
      <c r="S135" t="s">
        <v>1845</v>
      </c>
      <c r="T135" t="s">
        <v>1882</v>
      </c>
    </row>
    <row r="136" spans="1:20">
      <c r="A136" s="12" t="s">
        <v>1883</v>
      </c>
      <c r="B136" t="s">
        <v>1884</v>
      </c>
      <c r="C136" t="s">
        <v>1497</v>
      </c>
      <c r="D136" t="s">
        <v>1498</v>
      </c>
      <c r="E136" t="s">
        <v>994</v>
      </c>
      <c r="F136" t="s">
        <v>1415</v>
      </c>
      <c r="G136" t="s">
        <v>1473</v>
      </c>
      <c r="H136" s="172">
        <v>45679</v>
      </c>
      <c r="I136" t="s">
        <v>1435</v>
      </c>
      <c r="J136" s="172">
        <v>45643</v>
      </c>
      <c r="K136" s="172">
        <v>45679</v>
      </c>
      <c r="L136" s="172">
        <v>45679</v>
      </c>
      <c r="M136" s="172"/>
      <c r="N136" s="172"/>
      <c r="O136" s="12" t="s">
        <v>1885</v>
      </c>
      <c r="P136" t="s">
        <v>1366</v>
      </c>
      <c r="Q136" t="s">
        <v>994</v>
      </c>
      <c r="R136" t="s">
        <v>994</v>
      </c>
      <c r="S136" t="s">
        <v>1845</v>
      </c>
      <c r="T136" t="s">
        <v>1886</v>
      </c>
    </row>
    <row r="137" spans="1:20">
      <c r="A137" s="12" t="s">
        <v>1887</v>
      </c>
      <c r="B137" t="s">
        <v>1888</v>
      </c>
      <c r="C137" t="s">
        <v>1889</v>
      </c>
      <c r="D137" t="s">
        <v>1890</v>
      </c>
      <c r="E137" t="s">
        <v>994</v>
      </c>
      <c r="F137" t="s">
        <v>1415</v>
      </c>
      <c r="G137" t="s">
        <v>1415</v>
      </c>
      <c r="H137" s="172">
        <v>45672</v>
      </c>
      <c r="I137" t="s">
        <v>1435</v>
      </c>
      <c r="J137" s="172">
        <v>45607</v>
      </c>
      <c r="K137" s="172">
        <v>45611</v>
      </c>
      <c r="L137" s="172">
        <v>45612</v>
      </c>
      <c r="M137" s="172">
        <v>45667</v>
      </c>
      <c r="N137" s="172">
        <v>45681</v>
      </c>
      <c r="O137" s="12" t="s">
        <v>618</v>
      </c>
      <c r="P137" t="s">
        <v>1419</v>
      </c>
      <c r="Q137" t="s">
        <v>1234</v>
      </c>
      <c r="R137" t="s">
        <v>994</v>
      </c>
      <c r="S137" t="s">
        <v>1845</v>
      </c>
      <c r="T137" t="s">
        <v>1891</v>
      </c>
    </row>
    <row r="138" spans="1:20">
      <c r="A138" s="12" t="s">
        <v>1070</v>
      </c>
      <c r="B138" t="s">
        <v>1892</v>
      </c>
      <c r="C138" t="s">
        <v>642</v>
      </c>
      <c r="D138" t="s">
        <v>1429</v>
      </c>
      <c r="E138" t="s">
        <v>994</v>
      </c>
      <c r="F138" t="s">
        <v>1415</v>
      </c>
      <c r="G138" t="s">
        <v>1415</v>
      </c>
      <c r="H138" s="172">
        <v>45665</v>
      </c>
      <c r="I138" t="s">
        <v>1435</v>
      </c>
      <c r="J138" s="172">
        <v>45639</v>
      </c>
      <c r="K138" s="172">
        <v>45608</v>
      </c>
      <c r="L138" s="172"/>
      <c r="M138" s="172"/>
      <c r="N138" s="172"/>
      <c r="O138" s="12" t="s">
        <v>1893</v>
      </c>
      <c r="P138" t="s">
        <v>1419</v>
      </c>
      <c r="Q138" t="s">
        <v>1453</v>
      </c>
      <c r="R138" t="s">
        <v>994</v>
      </c>
      <c r="S138" t="s">
        <v>1845</v>
      </c>
      <c r="T138" t="s">
        <v>1894</v>
      </c>
    </row>
    <row r="139" spans="1:20">
      <c r="A139" s="12" t="s">
        <v>1105</v>
      </c>
      <c r="B139" t="s">
        <v>1324</v>
      </c>
      <c r="C139" t="s">
        <v>642</v>
      </c>
      <c r="D139" t="s">
        <v>1429</v>
      </c>
      <c r="E139" t="s">
        <v>994</v>
      </c>
      <c r="F139" t="s">
        <v>1415</v>
      </c>
      <c r="G139" t="s">
        <v>1425</v>
      </c>
      <c r="H139" s="172">
        <v>45677</v>
      </c>
      <c r="I139" t="s">
        <v>1435</v>
      </c>
      <c r="J139" s="172">
        <v>45561</v>
      </c>
      <c r="K139" s="172">
        <v>45589</v>
      </c>
      <c r="L139" s="172">
        <v>45595</v>
      </c>
      <c r="M139" s="172"/>
      <c r="N139" s="172"/>
      <c r="O139" s="12" t="s">
        <v>1895</v>
      </c>
      <c r="P139" t="s">
        <v>1419</v>
      </c>
      <c r="Q139" t="s">
        <v>1234</v>
      </c>
      <c r="R139" t="s">
        <v>994</v>
      </c>
      <c r="S139" t="s">
        <v>1845</v>
      </c>
      <c r="T139" t="s">
        <v>1896</v>
      </c>
    </row>
    <row r="140" spans="1:20">
      <c r="A140" s="12" t="s">
        <v>1082</v>
      </c>
      <c r="B140" t="s">
        <v>1897</v>
      </c>
      <c r="C140" t="s">
        <v>1898</v>
      </c>
      <c r="D140" t="s">
        <v>1899</v>
      </c>
      <c r="E140" t="s">
        <v>994</v>
      </c>
      <c r="F140" t="s">
        <v>1415</v>
      </c>
      <c r="G140" t="s">
        <v>1506</v>
      </c>
      <c r="H140" s="172">
        <v>45679</v>
      </c>
      <c r="I140" t="s">
        <v>1571</v>
      </c>
      <c r="J140" s="172">
        <v>45604</v>
      </c>
      <c r="K140" s="172">
        <v>45608</v>
      </c>
      <c r="L140" s="172">
        <v>45688</v>
      </c>
      <c r="M140" s="172"/>
      <c r="N140" s="172"/>
      <c r="O140" s="12" t="s">
        <v>1878</v>
      </c>
      <c r="P140" t="s">
        <v>1419</v>
      </c>
      <c r="Q140" t="s">
        <v>1453</v>
      </c>
      <c r="R140" t="s">
        <v>994</v>
      </c>
      <c r="S140" t="s">
        <v>1845</v>
      </c>
      <c r="T140" t="s">
        <v>1900</v>
      </c>
    </row>
    <row r="141" spans="1:20">
      <c r="A141" s="12" t="s">
        <v>1901</v>
      </c>
      <c r="B141" t="s">
        <v>1902</v>
      </c>
      <c r="C141" t="s">
        <v>642</v>
      </c>
      <c r="D141" t="s">
        <v>1429</v>
      </c>
      <c r="E141" t="s">
        <v>994</v>
      </c>
      <c r="F141" t="s">
        <v>1415</v>
      </c>
      <c r="G141" t="s">
        <v>1619</v>
      </c>
      <c r="H141" s="172">
        <v>45677</v>
      </c>
      <c r="I141" t="s">
        <v>1571</v>
      </c>
      <c r="J141" s="172">
        <v>45351</v>
      </c>
      <c r="K141" s="172">
        <v>45352</v>
      </c>
      <c r="L141" s="172"/>
      <c r="M141" s="172"/>
      <c r="N141" s="172"/>
      <c r="O141" s="12" t="s">
        <v>1903</v>
      </c>
      <c r="P141" t="s">
        <v>1419</v>
      </c>
      <c r="Q141" t="s">
        <v>994</v>
      </c>
      <c r="R141" t="s">
        <v>994</v>
      </c>
      <c r="S141" t="s">
        <v>1845</v>
      </c>
      <c r="T141" t="s">
        <v>1904</v>
      </c>
    </row>
    <row r="142" spans="1:20">
      <c r="A142" s="12" t="s">
        <v>1905</v>
      </c>
      <c r="B142" t="s">
        <v>1906</v>
      </c>
      <c r="C142" t="s">
        <v>458</v>
      </c>
      <c r="D142" t="s">
        <v>1637</v>
      </c>
      <c r="E142" t="s">
        <v>994</v>
      </c>
      <c r="F142" t="s">
        <v>1415</v>
      </c>
      <c r="G142" t="s">
        <v>1506</v>
      </c>
      <c r="H142" s="172">
        <v>45679</v>
      </c>
      <c r="I142" t="s">
        <v>1417</v>
      </c>
      <c r="J142" s="172">
        <v>45666</v>
      </c>
      <c r="K142" s="172">
        <v>45666</v>
      </c>
      <c r="L142" s="172">
        <v>45666</v>
      </c>
      <c r="M142" s="172">
        <v>45681</v>
      </c>
      <c r="N142" s="172"/>
      <c r="O142" s="12" t="s">
        <v>1907</v>
      </c>
      <c r="P142" t="s">
        <v>1419</v>
      </c>
      <c r="Q142" t="s">
        <v>1234</v>
      </c>
      <c r="R142" t="s">
        <v>994</v>
      </c>
      <c r="S142" t="s">
        <v>1845</v>
      </c>
      <c r="T142" t="s">
        <v>1908</v>
      </c>
    </row>
    <row r="143" spans="1:20">
      <c r="A143" s="12" t="s">
        <v>1322</v>
      </c>
      <c r="B143" t="s">
        <v>1909</v>
      </c>
      <c r="C143" t="s">
        <v>1910</v>
      </c>
      <c r="D143" t="s">
        <v>1911</v>
      </c>
      <c r="E143" t="s">
        <v>994</v>
      </c>
      <c r="F143" t="s">
        <v>1415</v>
      </c>
      <c r="G143" t="s">
        <v>1473</v>
      </c>
      <c r="H143" s="172">
        <v>45679</v>
      </c>
      <c r="I143" t="s">
        <v>1435</v>
      </c>
      <c r="J143" s="172">
        <v>45546</v>
      </c>
      <c r="K143" s="172">
        <v>45558</v>
      </c>
      <c r="L143" s="172">
        <v>45688</v>
      </c>
      <c r="M143" s="172">
        <v>45709</v>
      </c>
      <c r="N143" s="172"/>
      <c r="O143" s="12" t="s">
        <v>1912</v>
      </c>
      <c r="P143" t="s">
        <v>1419</v>
      </c>
      <c r="Q143" t="s">
        <v>1453</v>
      </c>
      <c r="R143" t="s">
        <v>994</v>
      </c>
      <c r="S143" t="s">
        <v>1845</v>
      </c>
      <c r="T143" t="s">
        <v>1913</v>
      </c>
    </row>
    <row r="144" spans="1:20">
      <c r="A144" s="12" t="s">
        <v>1036</v>
      </c>
      <c r="B144" t="s">
        <v>1914</v>
      </c>
      <c r="C144" t="s">
        <v>1704</v>
      </c>
      <c r="D144" t="s">
        <v>1705</v>
      </c>
      <c r="E144" t="s">
        <v>1483</v>
      </c>
      <c r="F144" t="s">
        <v>1415</v>
      </c>
      <c r="G144" t="s">
        <v>1473</v>
      </c>
      <c r="H144" s="172">
        <v>45686</v>
      </c>
      <c r="I144" t="s">
        <v>1677</v>
      </c>
      <c r="J144" s="172"/>
      <c r="K144" s="172"/>
      <c r="L144" s="172"/>
      <c r="M144" s="172"/>
      <c r="N144" s="172"/>
      <c r="O144" s="12" t="s">
        <v>1458</v>
      </c>
      <c r="P144" t="s">
        <v>1419</v>
      </c>
      <c r="Q144" t="s">
        <v>994</v>
      </c>
      <c r="R144" t="s">
        <v>994</v>
      </c>
      <c r="S144" t="s">
        <v>1845</v>
      </c>
      <c r="T144" t="s">
        <v>1915</v>
      </c>
    </row>
    <row r="145" spans="1:20">
      <c r="A145" s="12" t="s">
        <v>1916</v>
      </c>
      <c r="B145" t="s">
        <v>1917</v>
      </c>
      <c r="C145" t="s">
        <v>1662</v>
      </c>
      <c r="D145" t="s">
        <v>1663</v>
      </c>
      <c r="E145" t="s">
        <v>994</v>
      </c>
      <c r="F145" t="s">
        <v>1415</v>
      </c>
      <c r="G145" t="s">
        <v>1473</v>
      </c>
      <c r="H145" s="172">
        <v>45679</v>
      </c>
      <c r="I145" t="s">
        <v>1571</v>
      </c>
      <c r="J145" s="172">
        <v>45667</v>
      </c>
      <c r="K145" s="172"/>
      <c r="L145" s="172"/>
      <c r="M145" s="172"/>
      <c r="N145" s="172"/>
      <c r="O145" s="12" t="s">
        <v>618</v>
      </c>
      <c r="P145" t="s">
        <v>1419</v>
      </c>
      <c r="Q145" t="s">
        <v>994</v>
      </c>
      <c r="R145" t="s">
        <v>994</v>
      </c>
      <c r="S145" t="s">
        <v>1845</v>
      </c>
      <c r="T145" t="s">
        <v>1918</v>
      </c>
    </row>
    <row r="146" spans="1:20">
      <c r="A146" s="12" t="s">
        <v>1919</v>
      </c>
      <c r="B146" t="s">
        <v>1920</v>
      </c>
      <c r="C146" t="s">
        <v>1662</v>
      </c>
      <c r="D146" t="s">
        <v>1663</v>
      </c>
      <c r="E146" t="s">
        <v>994</v>
      </c>
      <c r="F146" t="s">
        <v>1415</v>
      </c>
      <c r="G146" t="s">
        <v>1415</v>
      </c>
      <c r="H146" s="172">
        <v>45735</v>
      </c>
      <c r="I146" t="s">
        <v>1435</v>
      </c>
      <c r="J146" s="172">
        <v>45463</v>
      </c>
      <c r="K146" s="172">
        <v>45463</v>
      </c>
      <c r="L146" s="172">
        <v>45463</v>
      </c>
      <c r="M146" s="172">
        <v>45604</v>
      </c>
      <c r="N146" s="172">
        <v>45709</v>
      </c>
      <c r="O146" s="12" t="s">
        <v>1813</v>
      </c>
      <c r="P146" t="s">
        <v>1419</v>
      </c>
      <c r="Q146" t="s">
        <v>1234</v>
      </c>
      <c r="R146" t="s">
        <v>1453</v>
      </c>
      <c r="S146" t="s">
        <v>1845</v>
      </c>
      <c r="T146" t="s">
        <v>1921</v>
      </c>
    </row>
    <row r="147" spans="1:20">
      <c r="A147" s="12" t="s">
        <v>1043</v>
      </c>
      <c r="B147" t="s">
        <v>1922</v>
      </c>
      <c r="C147" t="s">
        <v>1662</v>
      </c>
      <c r="D147" t="s">
        <v>1663</v>
      </c>
      <c r="E147" t="s">
        <v>994</v>
      </c>
      <c r="F147" t="s">
        <v>1415</v>
      </c>
      <c r="G147" t="s">
        <v>1473</v>
      </c>
      <c r="H147" s="172">
        <v>45679</v>
      </c>
      <c r="I147" t="s">
        <v>1571</v>
      </c>
      <c r="J147" s="172">
        <v>45625</v>
      </c>
      <c r="K147" s="172">
        <v>45625</v>
      </c>
      <c r="L147" s="172"/>
      <c r="M147" s="172"/>
      <c r="N147" s="172"/>
      <c r="O147" s="12" t="s">
        <v>1458</v>
      </c>
      <c r="P147" t="s">
        <v>1419</v>
      </c>
      <c r="Q147" t="s">
        <v>994</v>
      </c>
      <c r="R147" t="s">
        <v>994</v>
      </c>
      <c r="S147" t="s">
        <v>1845</v>
      </c>
      <c r="T147" t="s">
        <v>1923</v>
      </c>
    </row>
    <row r="148" spans="1:20">
      <c r="A148" s="12" t="s">
        <v>1057</v>
      </c>
      <c r="B148" t="s">
        <v>1924</v>
      </c>
      <c r="C148" t="s">
        <v>321</v>
      </c>
      <c r="D148" t="s">
        <v>1530</v>
      </c>
      <c r="E148" t="s">
        <v>994</v>
      </c>
      <c r="F148" t="s">
        <v>1415</v>
      </c>
      <c r="G148" t="s">
        <v>1473</v>
      </c>
      <c r="H148" s="172">
        <v>45679</v>
      </c>
      <c r="I148" t="s">
        <v>1435</v>
      </c>
      <c r="J148" s="172"/>
      <c r="K148" s="172"/>
      <c r="L148" s="172"/>
      <c r="M148" s="172"/>
      <c r="N148" s="172"/>
      <c r="O148" s="12" t="s">
        <v>1813</v>
      </c>
      <c r="P148" t="s">
        <v>1419</v>
      </c>
      <c r="Q148" t="s">
        <v>1453</v>
      </c>
      <c r="R148" t="s">
        <v>994</v>
      </c>
      <c r="S148" t="s">
        <v>1845</v>
      </c>
      <c r="T148" t="s">
        <v>1925</v>
      </c>
    </row>
    <row r="149" spans="1:20">
      <c r="A149" s="12" t="s">
        <v>1115</v>
      </c>
      <c r="B149" t="s">
        <v>1926</v>
      </c>
      <c r="C149" t="s">
        <v>1633</v>
      </c>
      <c r="D149" t="s">
        <v>1634</v>
      </c>
      <c r="E149" t="s">
        <v>994</v>
      </c>
      <c r="F149" t="s">
        <v>1415</v>
      </c>
      <c r="G149" t="s">
        <v>1473</v>
      </c>
      <c r="H149" s="172">
        <v>45686</v>
      </c>
      <c r="I149" t="s">
        <v>1435</v>
      </c>
      <c r="J149" s="172">
        <v>44397</v>
      </c>
      <c r="K149" s="172">
        <v>44397</v>
      </c>
      <c r="L149" s="172">
        <v>45471</v>
      </c>
      <c r="M149" s="172">
        <v>45744</v>
      </c>
      <c r="N149" s="172"/>
      <c r="O149" s="12" t="s">
        <v>618</v>
      </c>
      <c r="P149" t="s">
        <v>1419</v>
      </c>
      <c r="Q149" t="s">
        <v>1234</v>
      </c>
      <c r="R149" t="s">
        <v>994</v>
      </c>
      <c r="S149" t="s">
        <v>1845</v>
      </c>
      <c r="T149" t="s">
        <v>1927</v>
      </c>
    </row>
    <row r="150" spans="1:20">
      <c r="A150" s="12" t="s">
        <v>1928</v>
      </c>
      <c r="B150" t="s">
        <v>1929</v>
      </c>
      <c r="C150" t="s">
        <v>772</v>
      </c>
      <c r="D150" t="s">
        <v>1669</v>
      </c>
      <c r="E150" t="s">
        <v>994</v>
      </c>
      <c r="F150" t="s">
        <v>1415</v>
      </c>
      <c r="G150" t="s">
        <v>1506</v>
      </c>
      <c r="H150" s="172">
        <v>45679</v>
      </c>
      <c r="I150" t="s">
        <v>1417</v>
      </c>
      <c r="J150" s="172"/>
      <c r="K150" s="172"/>
      <c r="L150" s="172"/>
      <c r="M150" s="172"/>
      <c r="N150" s="172"/>
      <c r="O150" s="12" t="s">
        <v>618</v>
      </c>
      <c r="P150" t="s">
        <v>1419</v>
      </c>
      <c r="Q150" t="s">
        <v>994</v>
      </c>
      <c r="R150" t="s">
        <v>994</v>
      </c>
      <c r="S150" t="s">
        <v>1845</v>
      </c>
      <c r="T150" t="s">
        <v>1930</v>
      </c>
    </row>
    <row r="151" spans="1:20">
      <c r="A151" s="12" t="s">
        <v>1093</v>
      </c>
      <c r="B151" t="s">
        <v>1931</v>
      </c>
      <c r="C151" t="s">
        <v>642</v>
      </c>
      <c r="D151" t="s">
        <v>1429</v>
      </c>
      <c r="E151" t="s">
        <v>994</v>
      </c>
      <c r="F151" t="s">
        <v>1415</v>
      </c>
      <c r="G151" t="s">
        <v>1473</v>
      </c>
      <c r="H151" s="172"/>
      <c r="I151" t="s">
        <v>1435</v>
      </c>
      <c r="J151" s="172">
        <v>45666</v>
      </c>
      <c r="K151" s="172"/>
      <c r="L151" s="172"/>
      <c r="M151" s="172"/>
      <c r="N151" s="172"/>
      <c r="O151" s="12" t="s">
        <v>618</v>
      </c>
      <c r="P151" t="s">
        <v>1419</v>
      </c>
      <c r="Q151" t="s">
        <v>994</v>
      </c>
      <c r="R151" t="s">
        <v>994</v>
      </c>
      <c r="S151" t="s">
        <v>1845</v>
      </c>
      <c r="T151" t="s">
        <v>1419</v>
      </c>
    </row>
    <row r="152" spans="1:20">
      <c r="A152" s="12" t="s">
        <v>1932</v>
      </c>
      <c r="B152" t="s">
        <v>1933</v>
      </c>
      <c r="C152" t="s">
        <v>1704</v>
      </c>
      <c r="D152" t="s">
        <v>1705</v>
      </c>
      <c r="E152" t="s">
        <v>994</v>
      </c>
      <c r="F152" t="s">
        <v>1415</v>
      </c>
      <c r="G152" t="s">
        <v>1415</v>
      </c>
      <c r="H152" s="172">
        <v>45679</v>
      </c>
      <c r="I152" t="s">
        <v>1435</v>
      </c>
      <c r="J152" s="172"/>
      <c r="K152" s="172"/>
      <c r="L152" s="172"/>
      <c r="M152" s="172"/>
      <c r="N152" s="172"/>
      <c r="O152" s="12" t="s">
        <v>618</v>
      </c>
      <c r="P152" t="s">
        <v>1419</v>
      </c>
      <c r="Q152" t="s">
        <v>994</v>
      </c>
      <c r="R152" t="s">
        <v>994</v>
      </c>
      <c r="S152" t="s">
        <v>1845</v>
      </c>
      <c r="T152" t="s">
        <v>1934</v>
      </c>
    </row>
    <row r="153" spans="1:20">
      <c r="A153" s="12" t="s">
        <v>1935</v>
      </c>
      <c r="B153" t="s">
        <v>1936</v>
      </c>
      <c r="C153" t="s">
        <v>1704</v>
      </c>
      <c r="D153" t="s">
        <v>1705</v>
      </c>
      <c r="E153" t="s">
        <v>994</v>
      </c>
      <c r="F153" t="s">
        <v>1415</v>
      </c>
      <c r="G153" t="s">
        <v>1415</v>
      </c>
      <c r="H153" s="172">
        <v>45679</v>
      </c>
      <c r="I153" t="s">
        <v>1417</v>
      </c>
      <c r="J153" s="172">
        <v>45334</v>
      </c>
      <c r="K153" s="172">
        <v>45350</v>
      </c>
      <c r="L153" s="172">
        <v>45639</v>
      </c>
      <c r="M153" s="172">
        <v>45644</v>
      </c>
      <c r="N153" s="172">
        <v>45687</v>
      </c>
      <c r="O153" s="12" t="s">
        <v>1937</v>
      </c>
      <c r="P153" t="s">
        <v>1419</v>
      </c>
      <c r="Q153" t="s">
        <v>1234</v>
      </c>
      <c r="R153" t="s">
        <v>1453</v>
      </c>
      <c r="S153" t="s">
        <v>1845</v>
      </c>
      <c r="T153" t="s">
        <v>1938</v>
      </c>
    </row>
    <row r="154" spans="1:20">
      <c r="A154" s="12" t="s">
        <v>1005</v>
      </c>
      <c r="B154" t="s">
        <v>1939</v>
      </c>
      <c r="C154" t="s">
        <v>786</v>
      </c>
      <c r="D154" t="s">
        <v>1493</v>
      </c>
      <c r="E154" t="s">
        <v>994</v>
      </c>
      <c r="F154" t="s">
        <v>1415</v>
      </c>
      <c r="G154" t="s">
        <v>1473</v>
      </c>
      <c r="H154" s="172">
        <v>45679</v>
      </c>
      <c r="I154" t="s">
        <v>1417</v>
      </c>
      <c r="J154" s="172">
        <v>45590</v>
      </c>
      <c r="K154" s="172">
        <v>45590</v>
      </c>
      <c r="L154" s="172">
        <v>45667</v>
      </c>
      <c r="M154" s="172">
        <v>45688</v>
      </c>
      <c r="N154" s="172"/>
      <c r="O154" s="12" t="s">
        <v>1813</v>
      </c>
      <c r="P154" t="s">
        <v>1419</v>
      </c>
      <c r="Q154" t="s">
        <v>1453</v>
      </c>
      <c r="R154" t="s">
        <v>994</v>
      </c>
      <c r="S154" t="s">
        <v>1845</v>
      </c>
      <c r="T154" t="s">
        <v>1940</v>
      </c>
    </row>
    <row r="155" spans="1:20">
      <c r="A155" s="12" t="s">
        <v>1941</v>
      </c>
      <c r="B155" t="s">
        <v>1942</v>
      </c>
      <c r="C155" t="s">
        <v>321</v>
      </c>
      <c r="D155" t="s">
        <v>1530</v>
      </c>
      <c r="E155" t="s">
        <v>994</v>
      </c>
      <c r="F155" t="s">
        <v>1415</v>
      </c>
      <c r="G155" t="s">
        <v>1473</v>
      </c>
      <c r="H155" s="172">
        <v>45679</v>
      </c>
      <c r="I155" t="s">
        <v>1435</v>
      </c>
      <c r="J155" s="172"/>
      <c r="K155" s="172"/>
      <c r="L155" s="172"/>
      <c r="M155" s="172"/>
      <c r="N155" s="172"/>
      <c r="O155" s="12" t="s">
        <v>618</v>
      </c>
      <c r="P155" t="s">
        <v>1419</v>
      </c>
      <c r="Q155" t="s">
        <v>994</v>
      </c>
      <c r="R155" t="s">
        <v>994</v>
      </c>
      <c r="S155" t="s">
        <v>1845</v>
      </c>
      <c r="T155" t="s">
        <v>1943</v>
      </c>
    </row>
    <row r="156" spans="1:20">
      <c r="A156" s="12" t="s">
        <v>1012</v>
      </c>
      <c r="B156" t="s">
        <v>1944</v>
      </c>
      <c r="C156" t="s">
        <v>772</v>
      </c>
      <c r="D156" t="s">
        <v>1945</v>
      </c>
      <c r="E156" t="s">
        <v>994</v>
      </c>
      <c r="F156" t="s">
        <v>1415</v>
      </c>
      <c r="G156" t="s">
        <v>1425</v>
      </c>
      <c r="H156" s="172">
        <v>45749</v>
      </c>
      <c r="I156" t="s">
        <v>1435</v>
      </c>
      <c r="J156" s="172">
        <v>45548</v>
      </c>
      <c r="K156" s="172">
        <v>45566</v>
      </c>
      <c r="L156" s="172">
        <v>45618</v>
      </c>
      <c r="M156" s="172"/>
      <c r="N156" s="172"/>
      <c r="O156" s="12" t="s">
        <v>1946</v>
      </c>
      <c r="P156" t="s">
        <v>1419</v>
      </c>
      <c r="Q156" t="s">
        <v>1453</v>
      </c>
      <c r="R156" t="s">
        <v>994</v>
      </c>
      <c r="S156" t="s">
        <v>1845</v>
      </c>
      <c r="T156" t="s">
        <v>1947</v>
      </c>
    </row>
    <row r="157" spans="1:20">
      <c r="A157" s="12" t="s">
        <v>1037</v>
      </c>
      <c r="B157" t="s">
        <v>1948</v>
      </c>
      <c r="C157" t="s">
        <v>772</v>
      </c>
      <c r="D157" t="s">
        <v>1669</v>
      </c>
      <c r="E157" t="s">
        <v>994</v>
      </c>
      <c r="F157" t="s">
        <v>1415</v>
      </c>
      <c r="G157" t="s">
        <v>1473</v>
      </c>
      <c r="H157" s="172">
        <v>45679</v>
      </c>
      <c r="I157" t="s">
        <v>1571</v>
      </c>
      <c r="J157" s="172">
        <v>45621</v>
      </c>
      <c r="K157" s="172">
        <v>45615</v>
      </c>
      <c r="L157" s="172">
        <v>45692</v>
      </c>
      <c r="M157" s="172">
        <v>45692</v>
      </c>
      <c r="N157" s="172"/>
      <c r="O157" s="12" t="s">
        <v>1949</v>
      </c>
      <c r="P157" t="s">
        <v>1366</v>
      </c>
      <c r="Q157" t="s">
        <v>1453</v>
      </c>
      <c r="R157" t="s">
        <v>994</v>
      </c>
      <c r="S157" t="s">
        <v>1845</v>
      </c>
      <c r="T157" t="s">
        <v>1950</v>
      </c>
    </row>
    <row r="158" spans="1:20">
      <c r="A158" s="12" t="s">
        <v>1048</v>
      </c>
      <c r="B158" t="s">
        <v>1951</v>
      </c>
      <c r="C158" t="s">
        <v>1952</v>
      </c>
      <c r="D158" t="s">
        <v>1953</v>
      </c>
      <c r="E158" t="s">
        <v>994</v>
      </c>
      <c r="F158" t="s">
        <v>1415</v>
      </c>
      <c r="G158" t="s">
        <v>1499</v>
      </c>
      <c r="H158" s="172">
        <v>45673</v>
      </c>
      <c r="I158" t="s">
        <v>1435</v>
      </c>
      <c r="J158" s="172">
        <v>45644</v>
      </c>
      <c r="K158" s="172"/>
      <c r="L158" s="172"/>
      <c r="M158" s="172"/>
      <c r="N158" s="172"/>
      <c r="O158" s="12" t="s">
        <v>618</v>
      </c>
      <c r="P158" t="s">
        <v>1419</v>
      </c>
      <c r="Q158" t="s">
        <v>994</v>
      </c>
      <c r="R158" t="s">
        <v>994</v>
      </c>
      <c r="S158" t="s">
        <v>1845</v>
      </c>
      <c r="T158" t="s">
        <v>1419</v>
      </c>
    </row>
    <row r="159" spans="1:20">
      <c r="A159" s="12" t="s">
        <v>1954</v>
      </c>
      <c r="B159" t="s">
        <v>1955</v>
      </c>
      <c r="C159" t="s">
        <v>1700</v>
      </c>
      <c r="D159" t="s">
        <v>1701</v>
      </c>
      <c r="E159" t="s">
        <v>1956</v>
      </c>
      <c r="F159" t="s">
        <v>1415</v>
      </c>
      <c r="G159" t="s">
        <v>1415</v>
      </c>
      <c r="H159" s="172">
        <v>45693</v>
      </c>
      <c r="I159" t="s">
        <v>1435</v>
      </c>
      <c r="J159" s="172">
        <v>45371</v>
      </c>
      <c r="K159" s="172">
        <v>45371</v>
      </c>
      <c r="L159" s="172">
        <v>45371</v>
      </c>
      <c r="M159" s="172">
        <v>45523</v>
      </c>
      <c r="N159" s="172"/>
      <c r="O159" s="12" t="s">
        <v>618</v>
      </c>
      <c r="P159" t="s">
        <v>1419</v>
      </c>
      <c r="Q159" t="s">
        <v>1234</v>
      </c>
      <c r="R159" t="s">
        <v>1453</v>
      </c>
      <c r="S159" t="s">
        <v>1845</v>
      </c>
      <c r="T159" t="s">
        <v>1957</v>
      </c>
    </row>
    <row r="160" spans="1:20">
      <c r="A160" s="12" t="s">
        <v>1103</v>
      </c>
      <c r="B160" t="s">
        <v>1958</v>
      </c>
      <c r="C160" t="s">
        <v>772</v>
      </c>
      <c r="D160" t="s">
        <v>1669</v>
      </c>
      <c r="E160" t="s">
        <v>994</v>
      </c>
      <c r="F160" t="s">
        <v>1415</v>
      </c>
      <c r="G160" t="s">
        <v>1415</v>
      </c>
      <c r="H160" s="172">
        <v>45679</v>
      </c>
      <c r="I160" t="s">
        <v>1571</v>
      </c>
      <c r="J160" s="172"/>
      <c r="K160" s="172"/>
      <c r="L160" s="172"/>
      <c r="M160" s="172"/>
      <c r="N160" s="172"/>
      <c r="O160" s="12" t="s">
        <v>1769</v>
      </c>
      <c r="P160" t="s">
        <v>1419</v>
      </c>
      <c r="Q160" t="s">
        <v>994</v>
      </c>
      <c r="R160" t="s">
        <v>994</v>
      </c>
      <c r="S160" t="s">
        <v>1845</v>
      </c>
      <c r="T160" t="s">
        <v>1959</v>
      </c>
    </row>
    <row r="161" spans="1:20">
      <c r="A161" s="12" t="s">
        <v>1024</v>
      </c>
      <c r="B161" t="s">
        <v>1960</v>
      </c>
      <c r="C161" t="s">
        <v>1662</v>
      </c>
      <c r="D161" t="s">
        <v>1663</v>
      </c>
      <c r="E161" t="s">
        <v>994</v>
      </c>
      <c r="F161" t="s">
        <v>1415</v>
      </c>
      <c r="G161" t="s">
        <v>1415</v>
      </c>
      <c r="H161" s="172">
        <v>45679</v>
      </c>
      <c r="I161" t="s">
        <v>1435</v>
      </c>
      <c r="J161" s="172">
        <v>45593</v>
      </c>
      <c r="K161" s="172">
        <v>45593</v>
      </c>
      <c r="L161" s="172">
        <v>45674</v>
      </c>
      <c r="M161" s="172"/>
      <c r="N161" s="172"/>
      <c r="O161" s="12" t="s">
        <v>618</v>
      </c>
      <c r="P161" t="s">
        <v>1419</v>
      </c>
      <c r="Q161" t="s">
        <v>1453</v>
      </c>
      <c r="R161" t="s">
        <v>994</v>
      </c>
      <c r="S161" t="s">
        <v>1845</v>
      </c>
      <c r="T161" t="s">
        <v>1961</v>
      </c>
    </row>
    <row r="162" spans="1:20">
      <c r="A162" s="12" t="s">
        <v>1962</v>
      </c>
      <c r="B162" t="s">
        <v>1963</v>
      </c>
      <c r="C162" t="s">
        <v>642</v>
      </c>
      <c r="D162" t="s">
        <v>1429</v>
      </c>
      <c r="E162" t="s">
        <v>994</v>
      </c>
      <c r="F162" t="s">
        <v>1415</v>
      </c>
      <c r="G162" t="s">
        <v>1473</v>
      </c>
      <c r="H162" s="172"/>
      <c r="I162" t="s">
        <v>1435</v>
      </c>
      <c r="J162" s="172">
        <v>45659</v>
      </c>
      <c r="K162" s="172"/>
      <c r="L162" s="172"/>
      <c r="M162" s="172"/>
      <c r="N162" s="172"/>
      <c r="O162" s="12" t="s">
        <v>618</v>
      </c>
      <c r="P162" t="s">
        <v>1419</v>
      </c>
      <c r="Q162" t="s">
        <v>994</v>
      </c>
      <c r="R162" t="s">
        <v>994</v>
      </c>
      <c r="S162" t="s">
        <v>1845</v>
      </c>
      <c r="T162" t="s">
        <v>1964</v>
      </c>
    </row>
    <row r="163" spans="1:20">
      <c r="A163" s="12" t="s">
        <v>1965</v>
      </c>
      <c r="B163" t="s">
        <v>1966</v>
      </c>
      <c r="C163" t="s">
        <v>1662</v>
      </c>
      <c r="D163" t="s">
        <v>1663</v>
      </c>
      <c r="E163" t="s">
        <v>994</v>
      </c>
      <c r="F163" t="s">
        <v>1415</v>
      </c>
      <c r="G163" t="s">
        <v>1473</v>
      </c>
      <c r="H163" s="172">
        <v>45679</v>
      </c>
      <c r="I163" t="s">
        <v>1571</v>
      </c>
      <c r="J163" s="172">
        <v>45650</v>
      </c>
      <c r="K163" s="172">
        <v>45650</v>
      </c>
      <c r="L163" s="172"/>
      <c r="M163" s="172"/>
      <c r="N163" s="172"/>
      <c r="O163" s="12" t="s">
        <v>618</v>
      </c>
      <c r="P163" t="s">
        <v>1419</v>
      </c>
      <c r="Q163" t="s">
        <v>994</v>
      </c>
      <c r="R163" t="s">
        <v>994</v>
      </c>
      <c r="S163" t="s">
        <v>1845</v>
      </c>
      <c r="T163" t="s">
        <v>1967</v>
      </c>
    </row>
    <row r="164" spans="1:20">
      <c r="A164" s="12" t="s">
        <v>1028</v>
      </c>
      <c r="B164" t="s">
        <v>1968</v>
      </c>
      <c r="C164" t="s">
        <v>642</v>
      </c>
      <c r="D164" t="s">
        <v>1429</v>
      </c>
      <c r="E164" t="s">
        <v>994</v>
      </c>
      <c r="F164" t="s">
        <v>1415</v>
      </c>
      <c r="G164" t="s">
        <v>1489</v>
      </c>
      <c r="H164" s="172">
        <v>45670</v>
      </c>
      <c r="I164" t="s">
        <v>1435</v>
      </c>
      <c r="J164" s="172">
        <v>45609</v>
      </c>
      <c r="K164" s="172"/>
      <c r="L164" s="172">
        <v>45646</v>
      </c>
      <c r="M164" s="172"/>
      <c r="N164" s="172"/>
      <c r="O164" s="12" t="s">
        <v>1969</v>
      </c>
      <c r="P164" t="s">
        <v>1366</v>
      </c>
      <c r="Q164" t="s">
        <v>1234</v>
      </c>
      <c r="R164" t="s">
        <v>994</v>
      </c>
      <c r="S164" t="s">
        <v>1845</v>
      </c>
      <c r="T164" t="s">
        <v>1970</v>
      </c>
    </row>
    <row r="165" spans="1:20">
      <c r="A165" s="12" t="s">
        <v>1971</v>
      </c>
      <c r="B165" t="s">
        <v>1972</v>
      </c>
      <c r="C165" t="s">
        <v>786</v>
      </c>
      <c r="D165" t="s">
        <v>1464</v>
      </c>
      <c r="E165" t="s">
        <v>994</v>
      </c>
      <c r="F165" t="s">
        <v>1415</v>
      </c>
      <c r="G165" t="s">
        <v>1499</v>
      </c>
      <c r="H165" s="172">
        <v>45672</v>
      </c>
      <c r="I165" t="s">
        <v>1435</v>
      </c>
      <c r="J165" s="172"/>
      <c r="K165" s="172"/>
      <c r="L165" s="172"/>
      <c r="M165" s="172"/>
      <c r="N165" s="172"/>
      <c r="O165" s="12" t="s">
        <v>618</v>
      </c>
      <c r="P165" t="s">
        <v>1419</v>
      </c>
      <c r="Q165" t="s">
        <v>994</v>
      </c>
      <c r="R165" t="s">
        <v>994</v>
      </c>
      <c r="S165" t="s">
        <v>1845</v>
      </c>
      <c r="T165" t="s">
        <v>1973</v>
      </c>
    </row>
    <row r="166" spans="1:20">
      <c r="A166" s="12" t="s">
        <v>1020</v>
      </c>
      <c r="B166" t="s">
        <v>1974</v>
      </c>
      <c r="C166" t="s">
        <v>1497</v>
      </c>
      <c r="D166" t="s">
        <v>1498</v>
      </c>
      <c r="E166" t="s">
        <v>994</v>
      </c>
      <c r="F166" t="s">
        <v>1415</v>
      </c>
      <c r="G166" t="s">
        <v>1473</v>
      </c>
      <c r="H166" s="172">
        <v>45679</v>
      </c>
      <c r="I166" t="s">
        <v>1435</v>
      </c>
      <c r="J166" s="172">
        <v>45646</v>
      </c>
      <c r="K166" s="172">
        <v>45646</v>
      </c>
      <c r="L166" s="172">
        <v>45688</v>
      </c>
      <c r="M166" s="172"/>
      <c r="N166" s="172"/>
      <c r="O166" s="12" t="s">
        <v>618</v>
      </c>
      <c r="P166" t="s">
        <v>1419</v>
      </c>
      <c r="Q166" t="s">
        <v>1453</v>
      </c>
      <c r="R166" t="s">
        <v>994</v>
      </c>
      <c r="S166" t="s">
        <v>1845</v>
      </c>
      <c r="T166" t="s">
        <v>1975</v>
      </c>
    </row>
    <row r="167" spans="1:20">
      <c r="A167" s="12" t="s">
        <v>1090</v>
      </c>
      <c r="B167" t="s">
        <v>1976</v>
      </c>
      <c r="C167" t="s">
        <v>772</v>
      </c>
      <c r="D167" t="s">
        <v>1669</v>
      </c>
      <c r="E167" t="s">
        <v>994</v>
      </c>
      <c r="F167" t="s">
        <v>1415</v>
      </c>
      <c r="G167" t="s">
        <v>1473</v>
      </c>
      <c r="H167" s="172">
        <v>45679</v>
      </c>
      <c r="I167" t="s">
        <v>1435</v>
      </c>
      <c r="J167" s="172"/>
      <c r="K167" s="172"/>
      <c r="L167" s="172"/>
      <c r="M167" s="172"/>
      <c r="N167" s="172"/>
      <c r="O167" s="12" t="s">
        <v>618</v>
      </c>
      <c r="P167" t="s">
        <v>1419</v>
      </c>
      <c r="Q167" t="s">
        <v>994</v>
      </c>
      <c r="R167" t="s">
        <v>994</v>
      </c>
      <c r="S167" t="s">
        <v>1845</v>
      </c>
      <c r="T167" t="s">
        <v>1977</v>
      </c>
    </row>
    <row r="168" spans="1:20">
      <c r="A168" s="12" t="s">
        <v>1029</v>
      </c>
      <c r="B168" t="s">
        <v>1978</v>
      </c>
      <c r="C168" t="s">
        <v>1650</v>
      </c>
      <c r="D168" t="s">
        <v>1979</v>
      </c>
      <c r="E168" t="s">
        <v>994</v>
      </c>
      <c r="F168" t="s">
        <v>1415</v>
      </c>
      <c r="G168" t="s">
        <v>1473</v>
      </c>
      <c r="H168" s="172">
        <v>45720</v>
      </c>
      <c r="I168" t="s">
        <v>1435</v>
      </c>
      <c r="J168" s="172">
        <v>45401</v>
      </c>
      <c r="K168" s="172">
        <v>45401</v>
      </c>
      <c r="L168" s="172">
        <v>45443</v>
      </c>
      <c r="M168" s="172">
        <v>45824</v>
      </c>
      <c r="N168" s="172"/>
      <c r="O168" s="12" t="s">
        <v>1980</v>
      </c>
      <c r="P168" t="s">
        <v>1366</v>
      </c>
      <c r="Q168" t="s">
        <v>1234</v>
      </c>
      <c r="R168" t="s">
        <v>994</v>
      </c>
      <c r="S168" t="s">
        <v>1845</v>
      </c>
      <c r="T168" t="s">
        <v>1981</v>
      </c>
    </row>
    <row r="169" spans="1:20">
      <c r="A169" s="12" t="s">
        <v>1982</v>
      </c>
      <c r="B169" t="s">
        <v>1983</v>
      </c>
      <c r="C169" t="s">
        <v>642</v>
      </c>
      <c r="D169" t="s">
        <v>1984</v>
      </c>
      <c r="E169" t="s">
        <v>1483</v>
      </c>
      <c r="F169" t="s">
        <v>1415</v>
      </c>
      <c r="G169" t="s">
        <v>1415</v>
      </c>
      <c r="H169" s="172">
        <v>45691</v>
      </c>
      <c r="I169" t="s">
        <v>1435</v>
      </c>
      <c r="J169" s="172">
        <v>45553</v>
      </c>
      <c r="K169" s="172">
        <v>45569</v>
      </c>
      <c r="L169" s="172"/>
      <c r="M169" s="172"/>
      <c r="N169" s="172"/>
      <c r="O169" s="12" t="s">
        <v>1878</v>
      </c>
      <c r="P169" t="s">
        <v>1419</v>
      </c>
      <c r="Q169" t="s">
        <v>994</v>
      </c>
      <c r="R169" t="s">
        <v>994</v>
      </c>
      <c r="S169" t="s">
        <v>1845</v>
      </c>
      <c r="T169" t="s">
        <v>1985</v>
      </c>
    </row>
    <row r="170" spans="1:20">
      <c r="A170" s="12" t="s">
        <v>1039</v>
      </c>
      <c r="B170" t="s">
        <v>1986</v>
      </c>
      <c r="C170" t="s">
        <v>1521</v>
      </c>
      <c r="D170" t="s">
        <v>1522</v>
      </c>
      <c r="E170" t="s">
        <v>994</v>
      </c>
      <c r="F170" t="s">
        <v>1415</v>
      </c>
      <c r="G170" t="s">
        <v>1415</v>
      </c>
      <c r="H170" s="172">
        <v>45672</v>
      </c>
      <c r="I170" t="s">
        <v>1417</v>
      </c>
      <c r="J170" s="172">
        <v>45644</v>
      </c>
      <c r="K170" s="172">
        <v>45645</v>
      </c>
      <c r="L170" s="172">
        <v>45645</v>
      </c>
      <c r="M170" s="172">
        <v>45688</v>
      </c>
      <c r="N170" s="172">
        <v>45716</v>
      </c>
      <c r="O170" s="12" t="s">
        <v>1458</v>
      </c>
      <c r="P170" t="s">
        <v>1419</v>
      </c>
      <c r="Q170" t="s">
        <v>1234</v>
      </c>
      <c r="R170" t="s">
        <v>994</v>
      </c>
      <c r="S170" t="s">
        <v>1845</v>
      </c>
      <c r="T170" t="s">
        <v>1987</v>
      </c>
    </row>
    <row r="171" spans="1:20">
      <c r="A171" s="12" t="s">
        <v>1988</v>
      </c>
      <c r="B171" t="s">
        <v>1989</v>
      </c>
      <c r="C171" t="s">
        <v>1487</v>
      </c>
      <c r="D171" t="s">
        <v>1488</v>
      </c>
      <c r="E171" t="s">
        <v>994</v>
      </c>
      <c r="F171" t="s">
        <v>1415</v>
      </c>
      <c r="G171" t="s">
        <v>1473</v>
      </c>
      <c r="H171" s="172">
        <v>45728</v>
      </c>
      <c r="I171" t="s">
        <v>1435</v>
      </c>
      <c r="J171" s="172">
        <v>45509</v>
      </c>
      <c r="K171" s="172">
        <v>45509</v>
      </c>
      <c r="L171" s="172">
        <v>45551</v>
      </c>
      <c r="M171" s="172">
        <v>45551</v>
      </c>
      <c r="N171" s="172">
        <v>45688</v>
      </c>
      <c r="O171" s="12" t="s">
        <v>1813</v>
      </c>
      <c r="P171" t="s">
        <v>1419</v>
      </c>
      <c r="Q171" t="s">
        <v>1234</v>
      </c>
      <c r="R171" t="s">
        <v>1453</v>
      </c>
      <c r="S171" t="s">
        <v>1845</v>
      </c>
      <c r="T171" t="s">
        <v>1990</v>
      </c>
    </row>
    <row r="172" spans="1:20">
      <c r="A172" s="12" t="s">
        <v>1079</v>
      </c>
      <c r="B172" t="s">
        <v>1991</v>
      </c>
      <c r="C172" t="s">
        <v>772</v>
      </c>
      <c r="D172" t="s">
        <v>1669</v>
      </c>
      <c r="E172" t="s">
        <v>994</v>
      </c>
      <c r="F172" t="s">
        <v>1415</v>
      </c>
      <c r="G172" t="s">
        <v>1415</v>
      </c>
      <c r="H172" s="172">
        <v>45679</v>
      </c>
      <c r="I172" t="s">
        <v>1571</v>
      </c>
      <c r="J172" s="172"/>
      <c r="K172" s="172"/>
      <c r="L172" s="172"/>
      <c r="M172" s="172"/>
      <c r="N172" s="172"/>
      <c r="O172" s="12" t="s">
        <v>618</v>
      </c>
      <c r="P172" t="s">
        <v>1419</v>
      </c>
      <c r="Q172" t="s">
        <v>994</v>
      </c>
      <c r="R172" t="s">
        <v>994</v>
      </c>
      <c r="S172" t="s">
        <v>1845</v>
      </c>
      <c r="T172" t="s">
        <v>1992</v>
      </c>
    </row>
    <row r="173" spans="1:20">
      <c r="A173" s="12" t="s">
        <v>1993</v>
      </c>
      <c r="B173" t="s">
        <v>1994</v>
      </c>
      <c r="C173" t="s">
        <v>1423</v>
      </c>
      <c r="D173" t="s">
        <v>1424</v>
      </c>
      <c r="E173" t="s">
        <v>994</v>
      </c>
      <c r="F173" t="s">
        <v>1415</v>
      </c>
      <c r="G173" t="s">
        <v>1473</v>
      </c>
      <c r="H173" s="172">
        <v>45679</v>
      </c>
      <c r="I173" t="s">
        <v>1435</v>
      </c>
      <c r="J173" s="172">
        <v>45649</v>
      </c>
      <c r="K173" s="172">
        <v>45649</v>
      </c>
      <c r="L173" s="172"/>
      <c r="M173" s="172"/>
      <c r="N173" s="172"/>
      <c r="O173" s="12" t="s">
        <v>618</v>
      </c>
      <c r="P173" t="s">
        <v>1419</v>
      </c>
      <c r="Q173" t="s">
        <v>1453</v>
      </c>
      <c r="R173" t="s">
        <v>994</v>
      </c>
      <c r="S173" t="s">
        <v>1845</v>
      </c>
      <c r="T173" t="s">
        <v>1995</v>
      </c>
    </row>
    <row r="174" spans="1:20">
      <c r="A174" s="12" t="s">
        <v>1996</v>
      </c>
      <c r="B174" t="s">
        <v>1997</v>
      </c>
      <c r="C174" t="s">
        <v>458</v>
      </c>
      <c r="D174" t="s">
        <v>1637</v>
      </c>
      <c r="E174" t="s">
        <v>994</v>
      </c>
      <c r="F174" t="s">
        <v>1415</v>
      </c>
      <c r="G174" t="s">
        <v>1473</v>
      </c>
      <c r="H174" s="172">
        <v>45672</v>
      </c>
      <c r="I174" t="s">
        <v>1435</v>
      </c>
      <c r="J174" s="172"/>
      <c r="K174" s="172"/>
      <c r="L174" s="172"/>
      <c r="M174" s="172"/>
      <c r="N174" s="172"/>
      <c r="O174" s="12" t="s">
        <v>618</v>
      </c>
      <c r="P174" t="s">
        <v>1419</v>
      </c>
      <c r="Q174" t="s">
        <v>994</v>
      </c>
      <c r="R174" t="s">
        <v>994</v>
      </c>
      <c r="S174" t="s">
        <v>1845</v>
      </c>
      <c r="T174" t="s">
        <v>1998</v>
      </c>
    </row>
    <row r="175" spans="1:20">
      <c r="A175" s="12" t="s">
        <v>254</v>
      </c>
      <c r="B175" t="s">
        <v>1999</v>
      </c>
      <c r="C175" t="s">
        <v>2000</v>
      </c>
      <c r="D175" t="s">
        <v>2001</v>
      </c>
      <c r="E175" t="s">
        <v>994</v>
      </c>
      <c r="F175" t="s">
        <v>1415</v>
      </c>
      <c r="G175" t="s">
        <v>1506</v>
      </c>
      <c r="H175" s="172">
        <v>45672</v>
      </c>
      <c r="I175" t="s">
        <v>1435</v>
      </c>
      <c r="J175" s="172">
        <v>45537</v>
      </c>
      <c r="K175" s="172">
        <v>45603</v>
      </c>
      <c r="L175" s="172">
        <v>45653</v>
      </c>
      <c r="M175" s="172"/>
      <c r="N175" s="172"/>
      <c r="O175" s="12" t="s">
        <v>2002</v>
      </c>
      <c r="P175" t="s">
        <v>1419</v>
      </c>
      <c r="Q175" t="s">
        <v>1453</v>
      </c>
      <c r="R175" t="s">
        <v>994</v>
      </c>
      <c r="S175" t="s">
        <v>1845</v>
      </c>
      <c r="T175" t="s">
        <v>2003</v>
      </c>
    </row>
    <row r="176" spans="1:20">
      <c r="A176" s="12" t="s">
        <v>2004</v>
      </c>
      <c r="B176" t="s">
        <v>2005</v>
      </c>
      <c r="C176" t="s">
        <v>642</v>
      </c>
      <c r="D176" t="s">
        <v>1429</v>
      </c>
      <c r="E176" t="s">
        <v>994</v>
      </c>
      <c r="F176" t="s">
        <v>1415</v>
      </c>
      <c r="G176" t="s">
        <v>1473</v>
      </c>
      <c r="H176" s="172">
        <v>45670</v>
      </c>
      <c r="I176" t="s">
        <v>1435</v>
      </c>
      <c r="J176" s="172">
        <v>45597</v>
      </c>
      <c r="K176" s="172"/>
      <c r="L176" s="172">
        <v>45653</v>
      </c>
      <c r="M176" s="172"/>
      <c r="N176" s="172"/>
      <c r="O176" s="12" t="s">
        <v>2006</v>
      </c>
      <c r="P176" t="s">
        <v>1366</v>
      </c>
      <c r="Q176" t="s">
        <v>1234</v>
      </c>
      <c r="R176" t="s">
        <v>994</v>
      </c>
      <c r="S176" t="s">
        <v>1845</v>
      </c>
      <c r="T176" t="s">
        <v>2007</v>
      </c>
    </row>
    <row r="177" spans="1:20">
      <c r="A177" s="12" t="s">
        <v>1007</v>
      </c>
      <c r="B177" t="s">
        <v>2008</v>
      </c>
      <c r="C177" t="s">
        <v>1423</v>
      </c>
      <c r="D177" t="s">
        <v>1424</v>
      </c>
      <c r="E177" t="s">
        <v>994</v>
      </c>
      <c r="F177" t="s">
        <v>1415</v>
      </c>
      <c r="G177" t="s">
        <v>1506</v>
      </c>
      <c r="H177" s="172">
        <v>45679</v>
      </c>
      <c r="I177" t="s">
        <v>1435</v>
      </c>
      <c r="J177" s="172"/>
      <c r="K177" s="172"/>
      <c r="L177" s="172"/>
      <c r="M177" s="172"/>
      <c r="N177" s="172"/>
      <c r="O177" s="12" t="s">
        <v>618</v>
      </c>
      <c r="P177" t="s">
        <v>1419</v>
      </c>
      <c r="Q177" t="s">
        <v>994</v>
      </c>
      <c r="R177" t="s">
        <v>994</v>
      </c>
      <c r="S177" t="s">
        <v>1845</v>
      </c>
      <c r="T177" t="s">
        <v>2009</v>
      </c>
    </row>
    <row r="178" spans="1:20">
      <c r="A178" s="12" t="s">
        <v>2010</v>
      </c>
      <c r="B178" t="s">
        <v>2011</v>
      </c>
      <c r="C178" t="s">
        <v>1497</v>
      </c>
      <c r="D178" t="s">
        <v>1778</v>
      </c>
      <c r="E178" t="s">
        <v>994</v>
      </c>
      <c r="F178" t="s">
        <v>1415</v>
      </c>
      <c r="G178" t="s">
        <v>1415</v>
      </c>
      <c r="H178" s="172">
        <v>45707</v>
      </c>
      <c r="I178" t="s">
        <v>1435</v>
      </c>
      <c r="J178" s="172">
        <v>45275</v>
      </c>
      <c r="K178" s="172">
        <v>45560</v>
      </c>
      <c r="L178" s="172">
        <v>45560</v>
      </c>
      <c r="M178" s="172">
        <v>45618</v>
      </c>
      <c r="N178" s="172"/>
      <c r="O178" s="12" t="s">
        <v>2012</v>
      </c>
      <c r="P178" t="s">
        <v>1419</v>
      </c>
      <c r="Q178" t="s">
        <v>1234</v>
      </c>
      <c r="R178" t="s">
        <v>994</v>
      </c>
      <c r="S178" t="s">
        <v>1845</v>
      </c>
      <c r="T178" t="s">
        <v>2013</v>
      </c>
    </row>
    <row r="179" spans="1:20">
      <c r="A179" s="12" t="s">
        <v>2014</v>
      </c>
      <c r="B179" t="s">
        <v>2015</v>
      </c>
      <c r="C179" t="s">
        <v>1487</v>
      </c>
      <c r="D179" t="s">
        <v>1488</v>
      </c>
      <c r="E179" t="s">
        <v>994</v>
      </c>
      <c r="F179" t="s">
        <v>1415</v>
      </c>
      <c r="G179" t="s">
        <v>1415</v>
      </c>
      <c r="H179" s="172">
        <v>45670</v>
      </c>
      <c r="I179" t="s">
        <v>1571</v>
      </c>
      <c r="J179" s="172">
        <v>45552</v>
      </c>
      <c r="K179" s="172"/>
      <c r="L179" s="172">
        <v>45552</v>
      </c>
      <c r="M179" s="172">
        <v>45552</v>
      </c>
      <c r="N179" s="172"/>
      <c r="O179" s="12" t="s">
        <v>2016</v>
      </c>
      <c r="P179" t="s">
        <v>1419</v>
      </c>
      <c r="Q179" t="s">
        <v>1234</v>
      </c>
      <c r="R179" t="s">
        <v>994</v>
      </c>
      <c r="S179" t="s">
        <v>1845</v>
      </c>
      <c r="T179" t="s">
        <v>1419</v>
      </c>
    </row>
    <row r="180" spans="1:20">
      <c r="A180" s="12" t="s">
        <v>2017</v>
      </c>
      <c r="B180" t="s">
        <v>2018</v>
      </c>
      <c r="C180" t="s">
        <v>642</v>
      </c>
      <c r="D180" t="s">
        <v>1429</v>
      </c>
      <c r="E180" t="s">
        <v>994</v>
      </c>
      <c r="F180" t="s">
        <v>1415</v>
      </c>
      <c r="G180" t="s">
        <v>1415</v>
      </c>
      <c r="H180" s="172"/>
      <c r="I180" t="s">
        <v>1677</v>
      </c>
      <c r="J180" s="172">
        <v>45670</v>
      </c>
      <c r="K180" s="172"/>
      <c r="L180" s="172"/>
      <c r="M180" s="172"/>
      <c r="N180" s="172"/>
      <c r="O180" s="12" t="s">
        <v>618</v>
      </c>
      <c r="P180" t="s">
        <v>1419</v>
      </c>
      <c r="Q180" t="s">
        <v>994</v>
      </c>
      <c r="R180" t="s">
        <v>994</v>
      </c>
      <c r="S180" t="s">
        <v>1845</v>
      </c>
      <c r="T180" t="s">
        <v>2019</v>
      </c>
    </row>
    <row r="181" spans="1:20">
      <c r="A181" s="12" t="s">
        <v>2020</v>
      </c>
      <c r="B181" t="s">
        <v>2021</v>
      </c>
      <c r="C181" t="s">
        <v>772</v>
      </c>
      <c r="D181" t="s">
        <v>1669</v>
      </c>
      <c r="E181" t="s">
        <v>994</v>
      </c>
      <c r="F181" t="s">
        <v>1415</v>
      </c>
      <c r="G181" t="s">
        <v>1473</v>
      </c>
      <c r="H181" s="172">
        <v>45679</v>
      </c>
      <c r="I181" t="s">
        <v>1417</v>
      </c>
      <c r="J181" s="172"/>
      <c r="K181" s="172"/>
      <c r="L181" s="172"/>
      <c r="M181" s="172"/>
      <c r="N181" s="172"/>
      <c r="O181" s="12" t="s">
        <v>618</v>
      </c>
      <c r="P181" t="s">
        <v>1419</v>
      </c>
      <c r="Q181" t="s">
        <v>994</v>
      </c>
      <c r="R181" t="s">
        <v>994</v>
      </c>
      <c r="S181" t="s">
        <v>1845</v>
      </c>
      <c r="T181" t="s">
        <v>2022</v>
      </c>
    </row>
    <row r="182" spans="1:20">
      <c r="A182" s="12" t="s">
        <v>1264</v>
      </c>
      <c r="B182" t="s">
        <v>2023</v>
      </c>
      <c r="C182" t="s">
        <v>642</v>
      </c>
      <c r="D182" t="s">
        <v>1429</v>
      </c>
      <c r="E182" t="s">
        <v>994</v>
      </c>
      <c r="F182" t="s">
        <v>1415</v>
      </c>
      <c r="G182" t="s">
        <v>1415</v>
      </c>
      <c r="H182" s="172">
        <v>45665</v>
      </c>
      <c r="I182" t="s">
        <v>1435</v>
      </c>
      <c r="J182" s="172">
        <v>45516</v>
      </c>
      <c r="K182" s="172">
        <v>45524</v>
      </c>
      <c r="L182" s="172">
        <v>45541</v>
      </c>
      <c r="M182" s="172">
        <v>45681</v>
      </c>
      <c r="N182" s="172"/>
      <c r="O182" s="12" t="s">
        <v>2024</v>
      </c>
      <c r="P182" t="s">
        <v>1419</v>
      </c>
      <c r="Q182" t="s">
        <v>1234</v>
      </c>
      <c r="R182" t="s">
        <v>994</v>
      </c>
      <c r="S182" t="s">
        <v>1845</v>
      </c>
      <c r="T182" t="s">
        <v>2025</v>
      </c>
    </row>
    <row r="183" spans="1:20">
      <c r="A183" s="12" t="s">
        <v>2026</v>
      </c>
      <c r="B183" t="s">
        <v>2027</v>
      </c>
      <c r="C183" t="s">
        <v>1592</v>
      </c>
      <c r="D183" t="s">
        <v>2028</v>
      </c>
      <c r="E183" t="s">
        <v>994</v>
      </c>
      <c r="F183" t="s">
        <v>1415</v>
      </c>
      <c r="G183" t="s">
        <v>1415</v>
      </c>
      <c r="H183" s="172">
        <v>45672</v>
      </c>
      <c r="I183" t="s">
        <v>1677</v>
      </c>
      <c r="J183" s="172">
        <v>45630</v>
      </c>
      <c r="K183" s="172">
        <v>45630</v>
      </c>
      <c r="L183" s="172"/>
      <c r="M183" s="172"/>
      <c r="N183" s="172"/>
      <c r="O183" s="12" t="s">
        <v>618</v>
      </c>
      <c r="P183" t="s">
        <v>1419</v>
      </c>
      <c r="Q183" t="s">
        <v>1453</v>
      </c>
      <c r="R183" t="s">
        <v>994</v>
      </c>
      <c r="S183" t="s">
        <v>1845</v>
      </c>
      <c r="T183" t="s">
        <v>1419</v>
      </c>
    </row>
    <row r="184" spans="1:20">
      <c r="A184" s="12" t="s">
        <v>2029</v>
      </c>
      <c r="B184" t="s">
        <v>2030</v>
      </c>
      <c r="C184" t="s">
        <v>786</v>
      </c>
      <c r="D184" t="s">
        <v>1464</v>
      </c>
      <c r="E184" t="s">
        <v>1483</v>
      </c>
      <c r="F184" t="s">
        <v>1415</v>
      </c>
      <c r="G184" t="s">
        <v>1415</v>
      </c>
      <c r="H184" s="172">
        <v>45664</v>
      </c>
      <c r="I184" t="s">
        <v>1435</v>
      </c>
      <c r="J184" s="172"/>
      <c r="K184" s="172"/>
      <c r="L184" s="172"/>
      <c r="M184" s="172"/>
      <c r="N184" s="172"/>
      <c r="O184" s="12" t="s">
        <v>1813</v>
      </c>
      <c r="P184" t="s">
        <v>1419</v>
      </c>
      <c r="Q184" t="s">
        <v>994</v>
      </c>
      <c r="R184" t="s">
        <v>994</v>
      </c>
      <c r="S184" t="s">
        <v>1845</v>
      </c>
      <c r="T184" t="s">
        <v>2031</v>
      </c>
    </row>
    <row r="185" spans="1:20">
      <c r="A185" s="12" t="s">
        <v>1094</v>
      </c>
      <c r="B185" t="s">
        <v>2032</v>
      </c>
      <c r="C185" t="s">
        <v>772</v>
      </c>
      <c r="D185" t="s">
        <v>1669</v>
      </c>
      <c r="E185" t="s">
        <v>994</v>
      </c>
      <c r="F185" t="s">
        <v>1415</v>
      </c>
      <c r="G185" t="s">
        <v>1506</v>
      </c>
      <c r="H185" s="172">
        <v>45679</v>
      </c>
      <c r="I185" t="s">
        <v>1435</v>
      </c>
      <c r="J185" s="172"/>
      <c r="K185" s="172"/>
      <c r="L185" s="172"/>
      <c r="M185" s="172"/>
      <c r="N185" s="172"/>
      <c r="O185" s="12" t="s">
        <v>618</v>
      </c>
      <c r="P185" t="s">
        <v>1419</v>
      </c>
      <c r="Q185" t="s">
        <v>994</v>
      </c>
      <c r="R185" t="s">
        <v>994</v>
      </c>
      <c r="S185" t="s">
        <v>1845</v>
      </c>
      <c r="T185" t="s">
        <v>2033</v>
      </c>
    </row>
    <row r="186" spans="1:20">
      <c r="A186" s="12" t="s">
        <v>2034</v>
      </c>
      <c r="B186" t="s">
        <v>2035</v>
      </c>
      <c r="C186" t="s">
        <v>1898</v>
      </c>
      <c r="D186" t="s">
        <v>1899</v>
      </c>
      <c r="E186" t="s">
        <v>994</v>
      </c>
      <c r="F186" t="s">
        <v>1415</v>
      </c>
      <c r="G186" t="s">
        <v>1473</v>
      </c>
      <c r="H186" s="172">
        <v>45679</v>
      </c>
      <c r="I186" t="s">
        <v>1571</v>
      </c>
      <c r="J186" s="172">
        <v>45565</v>
      </c>
      <c r="K186" s="172">
        <v>45565</v>
      </c>
      <c r="L186" s="172">
        <v>45662</v>
      </c>
      <c r="M186" s="172"/>
      <c r="N186" s="172"/>
      <c r="O186" s="12" t="s">
        <v>1658</v>
      </c>
      <c r="P186" t="s">
        <v>1419</v>
      </c>
      <c r="Q186" t="s">
        <v>1453</v>
      </c>
      <c r="R186" t="s">
        <v>994</v>
      </c>
      <c r="S186" t="s">
        <v>1845</v>
      </c>
      <c r="T186" t="s">
        <v>2036</v>
      </c>
    </row>
    <row r="187" spans="1:20">
      <c r="A187" s="12" t="s">
        <v>1053</v>
      </c>
      <c r="B187" t="s">
        <v>2037</v>
      </c>
      <c r="C187" t="s">
        <v>1442</v>
      </c>
      <c r="D187" t="s">
        <v>1768</v>
      </c>
      <c r="E187" t="s">
        <v>994</v>
      </c>
      <c r="F187" t="s">
        <v>1415</v>
      </c>
      <c r="G187" t="s">
        <v>1473</v>
      </c>
      <c r="H187" s="172">
        <v>45679</v>
      </c>
      <c r="I187" t="s">
        <v>1435</v>
      </c>
      <c r="J187" s="172"/>
      <c r="K187" s="172"/>
      <c r="L187" s="172"/>
      <c r="M187" s="172"/>
      <c r="N187" s="172"/>
      <c r="O187" s="12" t="s">
        <v>2038</v>
      </c>
      <c r="P187" t="s">
        <v>1366</v>
      </c>
      <c r="Q187" t="s">
        <v>994</v>
      </c>
      <c r="R187" t="s">
        <v>994</v>
      </c>
      <c r="S187" t="s">
        <v>1845</v>
      </c>
      <c r="T187" t="s">
        <v>2039</v>
      </c>
    </row>
    <row r="188" spans="1:20">
      <c r="A188" s="12" t="s">
        <v>2040</v>
      </c>
      <c r="B188" t="s">
        <v>2041</v>
      </c>
      <c r="C188" t="s">
        <v>642</v>
      </c>
      <c r="D188" t="s">
        <v>1429</v>
      </c>
      <c r="E188" t="s">
        <v>994</v>
      </c>
      <c r="F188" t="s">
        <v>1415</v>
      </c>
      <c r="G188" t="s">
        <v>1473</v>
      </c>
      <c r="H188" s="172">
        <v>45665</v>
      </c>
      <c r="I188" t="s">
        <v>1435</v>
      </c>
      <c r="J188" s="172">
        <v>45588</v>
      </c>
      <c r="K188" s="172"/>
      <c r="L188" s="172"/>
      <c r="M188" s="172"/>
      <c r="N188" s="172"/>
      <c r="O188" s="12" t="s">
        <v>1720</v>
      </c>
      <c r="P188" t="s">
        <v>1419</v>
      </c>
      <c r="Q188" t="s">
        <v>994</v>
      </c>
      <c r="R188" t="s">
        <v>994</v>
      </c>
      <c r="S188" t="s">
        <v>1845</v>
      </c>
      <c r="T188" t="s">
        <v>2042</v>
      </c>
    </row>
    <row r="189" spans="1:20">
      <c r="A189" s="12" t="s">
        <v>1034</v>
      </c>
      <c r="B189" t="s">
        <v>2043</v>
      </c>
      <c r="C189" t="s">
        <v>1587</v>
      </c>
      <c r="D189" t="s">
        <v>2044</v>
      </c>
      <c r="E189" t="s">
        <v>1483</v>
      </c>
      <c r="F189" t="s">
        <v>1415</v>
      </c>
      <c r="G189" t="s">
        <v>1473</v>
      </c>
      <c r="H189" s="172">
        <v>45664</v>
      </c>
      <c r="I189" t="s">
        <v>1435</v>
      </c>
      <c r="J189" s="172"/>
      <c r="K189" s="172"/>
      <c r="L189" s="172"/>
      <c r="M189" s="172"/>
      <c r="N189" s="172"/>
      <c r="O189" s="12" t="s">
        <v>2012</v>
      </c>
      <c r="P189" t="s">
        <v>1366</v>
      </c>
      <c r="Q189" t="s">
        <v>994</v>
      </c>
      <c r="R189" t="s">
        <v>994</v>
      </c>
      <c r="S189" t="s">
        <v>1845</v>
      </c>
      <c r="T189" t="s">
        <v>1419</v>
      </c>
    </row>
    <row r="190" spans="1:20">
      <c r="A190" s="12" t="s">
        <v>2045</v>
      </c>
      <c r="B190" t="s">
        <v>2046</v>
      </c>
      <c r="C190" t="s">
        <v>772</v>
      </c>
      <c r="D190" t="s">
        <v>1945</v>
      </c>
      <c r="E190" t="s">
        <v>994</v>
      </c>
      <c r="F190" t="s">
        <v>1415</v>
      </c>
      <c r="G190" t="s">
        <v>1415</v>
      </c>
      <c r="H190" s="172">
        <v>45747</v>
      </c>
      <c r="I190" t="s">
        <v>1571</v>
      </c>
      <c r="J190" s="172">
        <v>44158</v>
      </c>
      <c r="K190" s="172">
        <v>44222</v>
      </c>
      <c r="L190" s="172">
        <v>44222</v>
      </c>
      <c r="M190" s="172">
        <v>44659</v>
      </c>
      <c r="N190" s="172">
        <v>45842</v>
      </c>
      <c r="O190" s="12" t="s">
        <v>2012</v>
      </c>
      <c r="P190" t="s">
        <v>1419</v>
      </c>
      <c r="Q190" t="s">
        <v>1234</v>
      </c>
      <c r="R190" t="s">
        <v>1453</v>
      </c>
      <c r="S190" t="s">
        <v>1845</v>
      </c>
      <c r="T190" t="s">
        <v>2047</v>
      </c>
    </row>
    <row r="191" spans="1:20">
      <c r="A191" s="12" t="s">
        <v>1014</v>
      </c>
      <c r="B191" t="s">
        <v>2048</v>
      </c>
      <c r="C191" t="s">
        <v>642</v>
      </c>
      <c r="D191" t="s">
        <v>1429</v>
      </c>
      <c r="E191" t="s">
        <v>994</v>
      </c>
      <c r="F191" t="s">
        <v>1415</v>
      </c>
      <c r="G191" t="s">
        <v>1415</v>
      </c>
      <c r="H191" s="172">
        <v>45665</v>
      </c>
      <c r="I191" t="s">
        <v>1435</v>
      </c>
      <c r="J191" s="172">
        <v>45264</v>
      </c>
      <c r="K191" s="172">
        <v>45559</v>
      </c>
      <c r="L191" s="172">
        <v>45667</v>
      </c>
      <c r="M191" s="172">
        <v>45667</v>
      </c>
      <c r="N191" s="172"/>
      <c r="O191" s="12" t="s">
        <v>2049</v>
      </c>
      <c r="P191" t="s">
        <v>1419</v>
      </c>
      <c r="Q191" t="s">
        <v>1234</v>
      </c>
      <c r="R191" t="s">
        <v>994</v>
      </c>
      <c r="S191" t="s">
        <v>1845</v>
      </c>
      <c r="T191" t="s">
        <v>2050</v>
      </c>
    </row>
    <row r="192" spans="1:20">
      <c r="A192" s="12" t="s">
        <v>2051</v>
      </c>
      <c r="B192" t="s">
        <v>2052</v>
      </c>
      <c r="C192" t="s">
        <v>786</v>
      </c>
      <c r="D192" t="s">
        <v>1493</v>
      </c>
      <c r="E192" t="s">
        <v>994</v>
      </c>
      <c r="F192" t="s">
        <v>1415</v>
      </c>
      <c r="G192" t="s">
        <v>1506</v>
      </c>
      <c r="H192" s="172">
        <v>45679</v>
      </c>
      <c r="I192" t="s">
        <v>1435</v>
      </c>
      <c r="J192" s="172">
        <v>45671</v>
      </c>
      <c r="K192" s="172">
        <v>45671</v>
      </c>
      <c r="L192" s="172">
        <v>45671</v>
      </c>
      <c r="M192" s="172"/>
      <c r="N192" s="172"/>
      <c r="O192" s="12" t="s">
        <v>1458</v>
      </c>
      <c r="P192" t="s">
        <v>1419</v>
      </c>
      <c r="Q192" t="s">
        <v>1234</v>
      </c>
      <c r="R192" t="s">
        <v>994</v>
      </c>
      <c r="S192" t="s">
        <v>1845</v>
      </c>
      <c r="T192" t="s">
        <v>2053</v>
      </c>
    </row>
    <row r="193" spans="1:20">
      <c r="A193" s="12" t="s">
        <v>2054</v>
      </c>
      <c r="B193" t="s">
        <v>2055</v>
      </c>
      <c r="C193" t="s">
        <v>1497</v>
      </c>
      <c r="D193" t="s">
        <v>1498</v>
      </c>
      <c r="E193" t="s">
        <v>994</v>
      </c>
      <c r="F193" t="s">
        <v>1415</v>
      </c>
      <c r="G193" t="s">
        <v>1473</v>
      </c>
      <c r="H193" s="172">
        <v>45679</v>
      </c>
      <c r="I193" t="s">
        <v>1435</v>
      </c>
      <c r="J193" s="172">
        <v>45672</v>
      </c>
      <c r="K193" s="172">
        <v>45672</v>
      </c>
      <c r="L193" s="172">
        <v>45672</v>
      </c>
      <c r="M193" s="172"/>
      <c r="N193" s="172"/>
      <c r="O193" s="12" t="s">
        <v>618</v>
      </c>
      <c r="P193" t="s">
        <v>1419</v>
      </c>
      <c r="Q193" t="s">
        <v>994</v>
      </c>
      <c r="R193" t="s">
        <v>994</v>
      </c>
      <c r="S193" t="s">
        <v>1845</v>
      </c>
      <c r="T193" t="s">
        <v>2056</v>
      </c>
    </row>
    <row r="194" spans="1:20">
      <c r="A194" s="12" t="s">
        <v>490</v>
      </c>
      <c r="B194" t="s">
        <v>947</v>
      </c>
      <c r="C194" t="s">
        <v>642</v>
      </c>
      <c r="D194" t="s">
        <v>1429</v>
      </c>
      <c r="E194" t="s">
        <v>994</v>
      </c>
      <c r="F194" t="s">
        <v>1415</v>
      </c>
      <c r="G194" t="s">
        <v>1425</v>
      </c>
      <c r="H194" s="172">
        <v>45665</v>
      </c>
      <c r="I194" t="s">
        <v>1435</v>
      </c>
      <c r="J194" s="172">
        <v>45629</v>
      </c>
      <c r="K194" s="172">
        <v>45638</v>
      </c>
      <c r="L194" s="172">
        <v>45638</v>
      </c>
      <c r="M194" s="172">
        <v>45677</v>
      </c>
      <c r="N194" s="172"/>
      <c r="O194" s="12" t="s">
        <v>2057</v>
      </c>
      <c r="P194" t="s">
        <v>1366</v>
      </c>
      <c r="Q194" t="s">
        <v>1234</v>
      </c>
      <c r="R194" t="s">
        <v>994</v>
      </c>
      <c r="S194" t="s">
        <v>1845</v>
      </c>
      <c r="T194" t="s">
        <v>2058</v>
      </c>
    </row>
    <row r="195" spans="1:20">
      <c r="A195" s="12" t="s">
        <v>2059</v>
      </c>
      <c r="B195" t="s">
        <v>2060</v>
      </c>
      <c r="C195" t="s">
        <v>1662</v>
      </c>
      <c r="D195" t="s">
        <v>1663</v>
      </c>
      <c r="E195" t="s">
        <v>994</v>
      </c>
      <c r="F195" t="s">
        <v>1415</v>
      </c>
      <c r="G195" t="s">
        <v>1473</v>
      </c>
      <c r="H195" s="172">
        <v>45679</v>
      </c>
      <c r="I195" t="s">
        <v>1435</v>
      </c>
      <c r="J195" s="172">
        <v>45667</v>
      </c>
      <c r="K195" s="172"/>
      <c r="L195" s="172"/>
      <c r="M195" s="172"/>
      <c r="N195" s="172"/>
      <c r="O195" s="12" t="s">
        <v>618</v>
      </c>
      <c r="P195" t="s">
        <v>1419</v>
      </c>
      <c r="Q195" t="s">
        <v>994</v>
      </c>
      <c r="R195" t="s">
        <v>994</v>
      </c>
      <c r="S195" t="s">
        <v>1845</v>
      </c>
      <c r="T195" t="s">
        <v>2061</v>
      </c>
    </row>
    <row r="196" spans="1:20">
      <c r="A196" s="12" t="s">
        <v>2062</v>
      </c>
      <c r="B196" t="s">
        <v>2063</v>
      </c>
      <c r="C196" t="s">
        <v>642</v>
      </c>
      <c r="D196" t="s">
        <v>1429</v>
      </c>
      <c r="E196" t="s">
        <v>994</v>
      </c>
      <c r="F196" t="s">
        <v>1415</v>
      </c>
      <c r="G196" t="s">
        <v>1415</v>
      </c>
      <c r="H196" s="172">
        <v>45665</v>
      </c>
      <c r="I196" t="s">
        <v>1571</v>
      </c>
      <c r="J196" s="172">
        <v>45271</v>
      </c>
      <c r="K196" s="172">
        <v>45565</v>
      </c>
      <c r="L196" s="172">
        <v>45673</v>
      </c>
      <c r="M196" s="172"/>
      <c r="N196" s="172"/>
      <c r="O196" s="12" t="s">
        <v>2064</v>
      </c>
      <c r="P196" t="s">
        <v>1419</v>
      </c>
      <c r="Q196" t="s">
        <v>1453</v>
      </c>
      <c r="R196" t="s">
        <v>994</v>
      </c>
      <c r="S196" t="s">
        <v>1845</v>
      </c>
      <c r="T196" t="s">
        <v>2065</v>
      </c>
    </row>
    <row r="197" spans="1:20">
      <c r="A197" s="12" t="s">
        <v>2066</v>
      </c>
      <c r="B197" t="s">
        <v>2067</v>
      </c>
      <c r="C197" t="s">
        <v>642</v>
      </c>
      <c r="D197" t="s">
        <v>1429</v>
      </c>
      <c r="E197" t="s">
        <v>994</v>
      </c>
      <c r="F197" t="s">
        <v>1415</v>
      </c>
      <c r="G197" t="s">
        <v>1473</v>
      </c>
      <c r="H197" s="172">
        <v>45665</v>
      </c>
      <c r="I197" t="s">
        <v>1435</v>
      </c>
      <c r="J197" s="172">
        <v>45607</v>
      </c>
      <c r="K197" s="172"/>
      <c r="L197" s="172">
        <v>45681</v>
      </c>
      <c r="M197" s="172"/>
      <c r="N197" s="172"/>
      <c r="O197" s="12" t="s">
        <v>2068</v>
      </c>
      <c r="P197" t="s">
        <v>1419</v>
      </c>
      <c r="Q197" t="s">
        <v>1453</v>
      </c>
      <c r="R197" t="s">
        <v>994</v>
      </c>
      <c r="S197" t="s">
        <v>1845</v>
      </c>
      <c r="T197" t="s">
        <v>2069</v>
      </c>
    </row>
    <row r="198" spans="1:20">
      <c r="A198" s="12" t="s">
        <v>2070</v>
      </c>
      <c r="B198" t="s">
        <v>2071</v>
      </c>
      <c r="C198" t="s">
        <v>642</v>
      </c>
      <c r="D198" t="s">
        <v>1429</v>
      </c>
      <c r="E198" t="s">
        <v>994</v>
      </c>
      <c r="F198" t="s">
        <v>1415</v>
      </c>
      <c r="G198" t="s">
        <v>1415</v>
      </c>
      <c r="H198" s="172">
        <v>45665</v>
      </c>
      <c r="I198" t="s">
        <v>1435</v>
      </c>
      <c r="J198" s="172">
        <v>45642</v>
      </c>
      <c r="K198" s="172"/>
      <c r="L198" s="172"/>
      <c r="M198" s="172"/>
      <c r="N198" s="172"/>
      <c r="O198" s="12" t="s">
        <v>2072</v>
      </c>
      <c r="P198" t="s">
        <v>1419</v>
      </c>
      <c r="Q198" t="s">
        <v>994</v>
      </c>
      <c r="R198" t="s">
        <v>994</v>
      </c>
      <c r="S198" t="s">
        <v>1845</v>
      </c>
      <c r="T198" t="s">
        <v>2073</v>
      </c>
    </row>
    <row r="199" spans="1:20">
      <c r="A199" s="12" t="s">
        <v>1044</v>
      </c>
      <c r="B199" t="s">
        <v>2074</v>
      </c>
      <c r="C199" t="s">
        <v>772</v>
      </c>
      <c r="D199" t="s">
        <v>1669</v>
      </c>
      <c r="E199" t="s">
        <v>1956</v>
      </c>
      <c r="F199" t="s">
        <v>1415</v>
      </c>
      <c r="G199" t="s">
        <v>1506</v>
      </c>
      <c r="H199" s="172">
        <v>45679</v>
      </c>
      <c r="I199" t="s">
        <v>1571</v>
      </c>
      <c r="J199" s="172"/>
      <c r="K199" s="172"/>
      <c r="L199" s="172"/>
      <c r="M199" s="172"/>
      <c r="N199" s="172"/>
      <c r="O199" s="12" t="s">
        <v>2075</v>
      </c>
      <c r="P199" t="s">
        <v>1366</v>
      </c>
      <c r="Q199" t="s">
        <v>994</v>
      </c>
      <c r="R199" t="s">
        <v>994</v>
      </c>
      <c r="S199" t="s">
        <v>1845</v>
      </c>
      <c r="T199" t="s">
        <v>2076</v>
      </c>
    </row>
    <row r="200" spans="1:20">
      <c r="A200" s="12" t="s">
        <v>1071</v>
      </c>
      <c r="B200" t="s">
        <v>2077</v>
      </c>
      <c r="C200" t="s">
        <v>1952</v>
      </c>
      <c r="D200" t="s">
        <v>1953</v>
      </c>
      <c r="E200" t="s">
        <v>1956</v>
      </c>
      <c r="F200" t="s">
        <v>1415</v>
      </c>
      <c r="G200" t="s">
        <v>1473</v>
      </c>
      <c r="H200" s="172"/>
      <c r="I200" t="s">
        <v>1677</v>
      </c>
      <c r="J200" s="172">
        <v>44383</v>
      </c>
      <c r="K200" s="172">
        <v>44383</v>
      </c>
      <c r="L200" s="172">
        <v>44383</v>
      </c>
      <c r="M200" s="172">
        <v>45323</v>
      </c>
      <c r="N200" s="172"/>
      <c r="O200" s="12" t="s">
        <v>2078</v>
      </c>
      <c r="P200" t="s">
        <v>1366</v>
      </c>
      <c r="Q200" t="s">
        <v>1234</v>
      </c>
      <c r="R200" t="s">
        <v>994</v>
      </c>
      <c r="S200" t="s">
        <v>1845</v>
      </c>
      <c r="T200" t="s">
        <v>2079</v>
      </c>
    </row>
    <row r="201" spans="1:20">
      <c r="A201" s="12" t="s">
        <v>2080</v>
      </c>
      <c r="B201" t="s">
        <v>2081</v>
      </c>
      <c r="C201" t="s">
        <v>1419</v>
      </c>
      <c r="D201" t="s">
        <v>1419</v>
      </c>
      <c r="E201" t="s">
        <v>994</v>
      </c>
      <c r="F201" t="s">
        <v>1415</v>
      </c>
      <c r="G201" t="s">
        <v>1473</v>
      </c>
      <c r="H201" s="172">
        <v>45665</v>
      </c>
      <c r="I201" t="s">
        <v>1435</v>
      </c>
      <c r="J201" s="172"/>
      <c r="K201" s="172"/>
      <c r="L201" s="172"/>
      <c r="M201" s="172"/>
      <c r="N201" s="172"/>
      <c r="O201" s="12" t="s">
        <v>618</v>
      </c>
      <c r="P201" t="s">
        <v>1419</v>
      </c>
      <c r="Q201" t="s">
        <v>994</v>
      </c>
      <c r="R201" t="s">
        <v>994</v>
      </c>
      <c r="S201" t="s">
        <v>1845</v>
      </c>
      <c r="T201" t="s">
        <v>1419</v>
      </c>
    </row>
    <row r="202" spans="1:20">
      <c r="A202" s="12" t="s">
        <v>2082</v>
      </c>
      <c r="B202" t="s">
        <v>2083</v>
      </c>
      <c r="C202" t="s">
        <v>1478</v>
      </c>
      <c r="D202" t="s">
        <v>1479</v>
      </c>
      <c r="E202" t="s">
        <v>994</v>
      </c>
      <c r="F202" t="s">
        <v>1415</v>
      </c>
      <c r="G202" t="s">
        <v>1473</v>
      </c>
      <c r="H202" s="172">
        <v>45679</v>
      </c>
      <c r="I202" t="s">
        <v>1435</v>
      </c>
      <c r="J202" s="172"/>
      <c r="K202" s="172"/>
      <c r="L202" s="172"/>
      <c r="M202" s="172"/>
      <c r="N202" s="172"/>
      <c r="O202" s="12" t="s">
        <v>2084</v>
      </c>
      <c r="P202" t="s">
        <v>1419</v>
      </c>
      <c r="Q202" t="s">
        <v>994</v>
      </c>
      <c r="R202" t="s">
        <v>994</v>
      </c>
      <c r="S202" t="s">
        <v>1845</v>
      </c>
      <c r="T202" t="s">
        <v>2085</v>
      </c>
    </row>
    <row r="203" spans="1:20">
      <c r="A203" s="12" t="s">
        <v>2086</v>
      </c>
      <c r="B203" t="s">
        <v>2087</v>
      </c>
      <c r="C203" t="s">
        <v>1521</v>
      </c>
      <c r="D203" t="s">
        <v>1522</v>
      </c>
      <c r="E203" t="s">
        <v>1483</v>
      </c>
      <c r="F203" t="s">
        <v>1415</v>
      </c>
      <c r="G203" t="s">
        <v>1473</v>
      </c>
      <c r="H203" s="172">
        <v>45679</v>
      </c>
      <c r="I203" t="s">
        <v>1435</v>
      </c>
      <c r="J203" s="172"/>
      <c r="K203" s="172"/>
      <c r="L203" s="172"/>
      <c r="M203" s="172"/>
      <c r="N203" s="172"/>
      <c r="O203" s="12" t="s">
        <v>618</v>
      </c>
      <c r="P203" t="s">
        <v>1419</v>
      </c>
      <c r="Q203" t="s">
        <v>994</v>
      </c>
      <c r="R203" t="s">
        <v>994</v>
      </c>
      <c r="S203" t="s">
        <v>1845</v>
      </c>
      <c r="T203" t="s">
        <v>2088</v>
      </c>
    </row>
    <row r="204" spans="1:20">
      <c r="A204" s="12" t="s">
        <v>2089</v>
      </c>
      <c r="B204" t="s">
        <v>2090</v>
      </c>
      <c r="C204" t="s">
        <v>1487</v>
      </c>
      <c r="D204" t="s">
        <v>2091</v>
      </c>
      <c r="E204" t="s">
        <v>994</v>
      </c>
      <c r="F204" t="s">
        <v>1415</v>
      </c>
      <c r="G204" t="s">
        <v>1473</v>
      </c>
      <c r="H204" s="172">
        <v>45719</v>
      </c>
      <c r="I204" t="s">
        <v>1417</v>
      </c>
      <c r="J204" s="172">
        <v>45391</v>
      </c>
      <c r="K204" s="172">
        <v>45513</v>
      </c>
      <c r="L204" s="172">
        <v>45391</v>
      </c>
      <c r="M204" s="172">
        <v>45562</v>
      </c>
      <c r="N204" s="172">
        <v>45519</v>
      </c>
      <c r="O204" s="12" t="s">
        <v>1458</v>
      </c>
      <c r="P204" t="s">
        <v>1419</v>
      </c>
      <c r="Q204" t="s">
        <v>1234</v>
      </c>
      <c r="R204" t="s">
        <v>1234</v>
      </c>
      <c r="S204" t="s">
        <v>1845</v>
      </c>
      <c r="T204" t="s">
        <v>1419</v>
      </c>
    </row>
    <row r="205" spans="1:20">
      <c r="A205" s="12" t="s">
        <v>1095</v>
      </c>
      <c r="B205" t="s">
        <v>2092</v>
      </c>
      <c r="C205" t="s">
        <v>642</v>
      </c>
      <c r="D205" t="s">
        <v>1429</v>
      </c>
      <c r="E205" t="s">
        <v>994</v>
      </c>
      <c r="F205" t="s">
        <v>1415</v>
      </c>
      <c r="G205" t="s">
        <v>1473</v>
      </c>
      <c r="H205" s="172">
        <v>45665</v>
      </c>
      <c r="I205" t="s">
        <v>1435</v>
      </c>
      <c r="J205" s="172">
        <v>45600</v>
      </c>
      <c r="K205" s="172">
        <v>45635</v>
      </c>
      <c r="L205" s="172">
        <v>45635</v>
      </c>
      <c r="M205" s="172">
        <v>45674</v>
      </c>
      <c r="N205" s="172"/>
      <c r="O205" s="12" t="s">
        <v>1458</v>
      </c>
      <c r="P205" t="s">
        <v>1419</v>
      </c>
      <c r="Q205" t="s">
        <v>1234</v>
      </c>
      <c r="R205" t="s">
        <v>994</v>
      </c>
      <c r="S205" t="s">
        <v>1845</v>
      </c>
      <c r="T205" t="s">
        <v>2093</v>
      </c>
    </row>
    <row r="206" spans="1:20">
      <c r="A206" s="12" t="s">
        <v>2094</v>
      </c>
      <c r="B206" t="s">
        <v>2095</v>
      </c>
      <c r="C206" t="s">
        <v>1704</v>
      </c>
      <c r="D206" t="s">
        <v>1705</v>
      </c>
      <c r="E206" t="s">
        <v>994</v>
      </c>
      <c r="F206" t="s">
        <v>1415</v>
      </c>
      <c r="G206" t="s">
        <v>1473</v>
      </c>
      <c r="H206" s="172">
        <v>45679</v>
      </c>
      <c r="I206" t="s">
        <v>1435</v>
      </c>
      <c r="J206" s="172"/>
      <c r="K206" s="172"/>
      <c r="L206" s="172"/>
      <c r="M206" s="172"/>
      <c r="N206" s="172"/>
      <c r="O206" s="12" t="s">
        <v>618</v>
      </c>
      <c r="P206" t="s">
        <v>1419</v>
      </c>
      <c r="Q206" t="s">
        <v>994</v>
      </c>
      <c r="R206" t="s">
        <v>994</v>
      </c>
      <c r="S206" t="s">
        <v>1845</v>
      </c>
      <c r="T206" t="s">
        <v>2096</v>
      </c>
    </row>
    <row r="207" spans="1:20">
      <c r="A207" s="12" t="s">
        <v>2097</v>
      </c>
      <c r="B207" t="s">
        <v>2098</v>
      </c>
      <c r="C207" t="s">
        <v>642</v>
      </c>
      <c r="D207" t="s">
        <v>1429</v>
      </c>
      <c r="E207" t="s">
        <v>994</v>
      </c>
      <c r="F207" t="s">
        <v>1419</v>
      </c>
      <c r="G207" t="s">
        <v>1419</v>
      </c>
      <c r="H207" s="172"/>
      <c r="I207" t="s">
        <v>1435</v>
      </c>
      <c r="J207" s="172">
        <v>45670</v>
      </c>
      <c r="K207" s="172"/>
      <c r="L207" s="172"/>
      <c r="M207" s="172"/>
      <c r="N207" s="172"/>
      <c r="O207" s="12" t="s">
        <v>618</v>
      </c>
      <c r="P207" t="s">
        <v>1419</v>
      </c>
      <c r="Q207" t="s">
        <v>994</v>
      </c>
      <c r="R207" t="s">
        <v>994</v>
      </c>
      <c r="S207" t="s">
        <v>1845</v>
      </c>
      <c r="T207" t="s">
        <v>1419</v>
      </c>
    </row>
    <row r="208" spans="1:20">
      <c r="A208" s="12" t="s">
        <v>2099</v>
      </c>
      <c r="B208" t="s">
        <v>2100</v>
      </c>
      <c r="C208" t="s">
        <v>1521</v>
      </c>
      <c r="D208" t="s">
        <v>1522</v>
      </c>
      <c r="E208" t="s">
        <v>994</v>
      </c>
      <c r="F208" t="s">
        <v>1419</v>
      </c>
      <c r="G208" t="s">
        <v>1419</v>
      </c>
      <c r="H208" s="172">
        <v>45672</v>
      </c>
      <c r="I208" t="s">
        <v>1435</v>
      </c>
      <c r="J208" s="172"/>
      <c r="K208" s="172"/>
      <c r="L208" s="172"/>
      <c r="M208" s="172"/>
      <c r="N208" s="172"/>
      <c r="O208" s="12" t="s">
        <v>618</v>
      </c>
      <c r="P208" t="s">
        <v>1419</v>
      </c>
      <c r="Q208" t="s">
        <v>994</v>
      </c>
      <c r="R208" t="s">
        <v>994</v>
      </c>
      <c r="S208" t="s">
        <v>1845</v>
      </c>
      <c r="T208" t="s">
        <v>1419</v>
      </c>
    </row>
    <row r="209" spans="1:20">
      <c r="A209" s="12" t="s">
        <v>2101</v>
      </c>
      <c r="B209" t="s">
        <v>2102</v>
      </c>
      <c r="C209" t="s">
        <v>786</v>
      </c>
      <c r="D209" t="s">
        <v>1464</v>
      </c>
      <c r="E209" t="s">
        <v>994</v>
      </c>
      <c r="F209" t="s">
        <v>1419</v>
      </c>
      <c r="G209" t="s">
        <v>1419</v>
      </c>
      <c r="H209" s="172">
        <v>45672</v>
      </c>
      <c r="I209" t="s">
        <v>1435</v>
      </c>
      <c r="J209" s="172">
        <v>45664</v>
      </c>
      <c r="K209" s="172">
        <v>45664</v>
      </c>
      <c r="L209" s="172">
        <v>45673</v>
      </c>
      <c r="M209" s="172"/>
      <c r="N209" s="172"/>
      <c r="O209" s="12" t="s">
        <v>618</v>
      </c>
      <c r="P209" t="s">
        <v>1419</v>
      </c>
      <c r="Q209" t="s">
        <v>1453</v>
      </c>
      <c r="R209" t="s">
        <v>994</v>
      </c>
      <c r="S209" t="s">
        <v>1845</v>
      </c>
      <c r="T209" t="s">
        <v>2103</v>
      </c>
    </row>
    <row r="210" spans="1:20">
      <c r="A210" s="12" t="s">
        <v>2104</v>
      </c>
      <c r="B210" t="s">
        <v>2105</v>
      </c>
      <c r="C210" t="s">
        <v>1423</v>
      </c>
      <c r="D210" t="s">
        <v>1424</v>
      </c>
      <c r="E210" t="s">
        <v>994</v>
      </c>
      <c r="F210" t="s">
        <v>1419</v>
      </c>
      <c r="G210" t="s">
        <v>1419</v>
      </c>
      <c r="H210" s="172">
        <v>45679</v>
      </c>
      <c r="I210" t="s">
        <v>1435</v>
      </c>
      <c r="J210" s="172"/>
      <c r="K210" s="172"/>
      <c r="L210" s="172"/>
      <c r="M210" s="172"/>
      <c r="N210" s="172"/>
      <c r="O210" s="12" t="s">
        <v>618</v>
      </c>
      <c r="P210" t="s">
        <v>1419</v>
      </c>
      <c r="Q210" t="s">
        <v>994</v>
      </c>
      <c r="R210" t="s">
        <v>994</v>
      </c>
      <c r="S210" t="s">
        <v>1845</v>
      </c>
      <c r="T210" t="s">
        <v>2106</v>
      </c>
    </row>
    <row r="211" spans="1:20">
      <c r="A211" s="12" t="s">
        <v>2107</v>
      </c>
      <c r="B211" t="s">
        <v>2108</v>
      </c>
      <c r="C211" t="s">
        <v>1442</v>
      </c>
      <c r="D211" t="s">
        <v>1768</v>
      </c>
      <c r="E211" t="s">
        <v>994</v>
      </c>
      <c r="F211" t="s">
        <v>1419</v>
      </c>
      <c r="G211" t="s">
        <v>1419</v>
      </c>
      <c r="H211" s="172">
        <v>45679</v>
      </c>
      <c r="I211" t="s">
        <v>1571</v>
      </c>
      <c r="J211" s="172">
        <v>45642</v>
      </c>
      <c r="K211" s="172">
        <v>45642</v>
      </c>
      <c r="L211" s="172"/>
      <c r="M211" s="172"/>
      <c r="N211" s="172"/>
      <c r="O211" s="12" t="s">
        <v>618</v>
      </c>
      <c r="P211" t="s">
        <v>1419</v>
      </c>
      <c r="Q211" t="s">
        <v>1453</v>
      </c>
      <c r="R211" t="s">
        <v>994</v>
      </c>
      <c r="S211" t="s">
        <v>1845</v>
      </c>
      <c r="T211" t="s">
        <v>2109</v>
      </c>
    </row>
    <row r="212" spans="1:20">
      <c r="A212" s="12" t="s">
        <v>2110</v>
      </c>
      <c r="B212" t="s">
        <v>2111</v>
      </c>
      <c r="C212" t="s">
        <v>1423</v>
      </c>
      <c r="D212" t="s">
        <v>1424</v>
      </c>
      <c r="E212" t="s">
        <v>1956</v>
      </c>
      <c r="F212" t="s">
        <v>1419</v>
      </c>
      <c r="G212" t="s">
        <v>1419</v>
      </c>
      <c r="H212" s="172">
        <v>45679</v>
      </c>
      <c r="I212" t="s">
        <v>1571</v>
      </c>
      <c r="J212" s="172">
        <v>45176</v>
      </c>
      <c r="K212" s="172">
        <v>45334</v>
      </c>
      <c r="L212" s="172">
        <v>45345</v>
      </c>
      <c r="M212" s="172"/>
      <c r="N212" s="172"/>
      <c r="O212" s="12" t="s">
        <v>618</v>
      </c>
      <c r="P212" t="s">
        <v>1419</v>
      </c>
      <c r="Q212" t="s">
        <v>1234</v>
      </c>
      <c r="R212" t="s">
        <v>994</v>
      </c>
      <c r="S212" t="s">
        <v>1845</v>
      </c>
      <c r="T212" t="s">
        <v>2112</v>
      </c>
    </row>
    <row r="213" spans="1:20">
      <c r="A213" s="12" t="s">
        <v>2113</v>
      </c>
      <c r="B213" t="s">
        <v>2114</v>
      </c>
      <c r="C213" t="s">
        <v>642</v>
      </c>
      <c r="D213" t="s">
        <v>1429</v>
      </c>
      <c r="E213" t="s">
        <v>994</v>
      </c>
      <c r="F213" t="s">
        <v>1419</v>
      </c>
      <c r="G213" t="s">
        <v>1419</v>
      </c>
      <c r="H213" s="172"/>
      <c r="I213" t="s">
        <v>1435</v>
      </c>
      <c r="J213" s="172"/>
      <c r="K213" s="172"/>
      <c r="L213" s="172"/>
      <c r="M213" s="172"/>
      <c r="N213" s="172"/>
      <c r="O213" s="12" t="s">
        <v>618</v>
      </c>
      <c r="P213" t="s">
        <v>1419</v>
      </c>
      <c r="Q213" t="s">
        <v>994</v>
      </c>
      <c r="R213" t="s">
        <v>994</v>
      </c>
      <c r="S213" t="s">
        <v>1845</v>
      </c>
      <c r="T213" t="s">
        <v>1419</v>
      </c>
    </row>
    <row r="214" spans="1:20">
      <c r="A214" s="12" t="s">
        <v>2115</v>
      </c>
      <c r="B214" t="s">
        <v>2116</v>
      </c>
      <c r="C214" t="s">
        <v>642</v>
      </c>
      <c r="D214" t="s">
        <v>1429</v>
      </c>
      <c r="E214" t="s">
        <v>994</v>
      </c>
      <c r="F214" t="s">
        <v>1415</v>
      </c>
      <c r="G214" t="s">
        <v>1473</v>
      </c>
      <c r="H214" s="172">
        <v>45644</v>
      </c>
      <c r="I214" t="s">
        <v>1435</v>
      </c>
      <c r="J214" s="172">
        <v>45588</v>
      </c>
      <c r="K214" s="172"/>
      <c r="L214" s="172">
        <v>45646</v>
      </c>
      <c r="M214" s="172"/>
      <c r="N214" s="172"/>
      <c r="O214" s="12" t="s">
        <v>2117</v>
      </c>
      <c r="P214" t="s">
        <v>1419</v>
      </c>
      <c r="Q214" t="s">
        <v>1453</v>
      </c>
      <c r="R214" t="s">
        <v>994</v>
      </c>
      <c r="S214" t="s">
        <v>2118</v>
      </c>
      <c r="T214" t="s">
        <v>1419</v>
      </c>
    </row>
    <row r="215" spans="1:20">
      <c r="A215" s="12" t="s">
        <v>2119</v>
      </c>
      <c r="B215" t="s">
        <v>2120</v>
      </c>
      <c r="C215" t="s">
        <v>1521</v>
      </c>
      <c r="D215" t="s">
        <v>1522</v>
      </c>
      <c r="E215" t="s">
        <v>1483</v>
      </c>
      <c r="F215" t="s">
        <v>1415</v>
      </c>
      <c r="G215" t="s">
        <v>1415</v>
      </c>
      <c r="H215" s="172">
        <v>45667</v>
      </c>
      <c r="I215" t="s">
        <v>1571</v>
      </c>
      <c r="J215" s="172"/>
      <c r="K215" s="172"/>
      <c r="L215" s="172"/>
      <c r="M215" s="172"/>
      <c r="N215" s="172"/>
      <c r="O215" s="12" t="s">
        <v>618</v>
      </c>
      <c r="P215" t="s">
        <v>1419</v>
      </c>
      <c r="Q215" t="s">
        <v>994</v>
      </c>
      <c r="R215" t="s">
        <v>994</v>
      </c>
      <c r="S215" t="s">
        <v>2118</v>
      </c>
      <c r="T215" t="s">
        <v>2121</v>
      </c>
    </row>
    <row r="216" spans="1:20">
      <c r="A216" s="12" t="s">
        <v>2122</v>
      </c>
      <c r="B216" t="s">
        <v>2123</v>
      </c>
      <c r="C216" t="s">
        <v>642</v>
      </c>
      <c r="D216" t="s">
        <v>1429</v>
      </c>
      <c r="E216" t="s">
        <v>994</v>
      </c>
      <c r="F216" t="s">
        <v>1415</v>
      </c>
      <c r="G216" t="s">
        <v>1506</v>
      </c>
      <c r="H216" s="172"/>
      <c r="I216" t="s">
        <v>1435</v>
      </c>
      <c r="J216" s="172">
        <v>45457</v>
      </c>
      <c r="K216" s="172"/>
      <c r="L216" s="172">
        <v>45639</v>
      </c>
      <c r="M216" s="172"/>
      <c r="N216" s="172"/>
      <c r="O216" s="12" t="s">
        <v>1813</v>
      </c>
      <c r="P216" t="s">
        <v>1419</v>
      </c>
      <c r="Q216" t="s">
        <v>994</v>
      </c>
      <c r="R216" t="s">
        <v>994</v>
      </c>
      <c r="S216" t="s">
        <v>2118</v>
      </c>
      <c r="T216" t="s">
        <v>1419</v>
      </c>
    </row>
    <row r="217" spans="1:20">
      <c r="A217" s="12" t="s">
        <v>2124</v>
      </c>
      <c r="B217" t="s">
        <v>2125</v>
      </c>
      <c r="C217" t="s">
        <v>2000</v>
      </c>
      <c r="D217" t="s">
        <v>2001</v>
      </c>
      <c r="E217" t="s">
        <v>1483</v>
      </c>
      <c r="F217" t="s">
        <v>1415</v>
      </c>
      <c r="G217" t="s">
        <v>1506</v>
      </c>
      <c r="H217" s="172">
        <v>45618</v>
      </c>
      <c r="I217" t="s">
        <v>1435</v>
      </c>
      <c r="J217" s="172">
        <v>45580</v>
      </c>
      <c r="K217" s="172">
        <v>45580</v>
      </c>
      <c r="L217" s="172">
        <v>45581</v>
      </c>
      <c r="M217" s="172">
        <v>45590</v>
      </c>
      <c r="N217" s="172"/>
      <c r="O217" s="12" t="s">
        <v>1720</v>
      </c>
      <c r="P217" t="s">
        <v>1419</v>
      </c>
      <c r="Q217" t="s">
        <v>1234</v>
      </c>
      <c r="R217" t="s">
        <v>994</v>
      </c>
      <c r="S217" t="s">
        <v>2118</v>
      </c>
      <c r="T217" t="s">
        <v>1419</v>
      </c>
    </row>
    <row r="218" spans="1:20">
      <c r="A218" s="12" t="s">
        <v>2126</v>
      </c>
      <c r="B218" t="s">
        <v>2127</v>
      </c>
      <c r="C218" t="s">
        <v>642</v>
      </c>
      <c r="D218" t="s">
        <v>1429</v>
      </c>
      <c r="E218" t="s">
        <v>994</v>
      </c>
      <c r="F218" t="s">
        <v>1415</v>
      </c>
      <c r="G218" t="s">
        <v>1473</v>
      </c>
      <c r="H218" s="172">
        <v>45642</v>
      </c>
      <c r="I218" t="s">
        <v>1435</v>
      </c>
      <c r="J218" s="172">
        <v>45520</v>
      </c>
      <c r="K218" s="172">
        <v>45611</v>
      </c>
      <c r="L218" s="172">
        <v>45674</v>
      </c>
      <c r="M218" s="172"/>
      <c r="N218" s="172"/>
      <c r="O218" s="12" t="s">
        <v>2128</v>
      </c>
      <c r="P218" t="s">
        <v>1419</v>
      </c>
      <c r="Q218" t="s">
        <v>1453</v>
      </c>
      <c r="R218" t="s">
        <v>994</v>
      </c>
      <c r="S218" t="s">
        <v>2118</v>
      </c>
      <c r="T218" t="s">
        <v>1419</v>
      </c>
    </row>
    <row r="219" spans="1:20">
      <c r="A219" s="12" t="s">
        <v>1080</v>
      </c>
      <c r="B219" t="s">
        <v>2129</v>
      </c>
      <c r="C219" t="s">
        <v>642</v>
      </c>
      <c r="D219" t="s">
        <v>1984</v>
      </c>
      <c r="E219" t="s">
        <v>1483</v>
      </c>
      <c r="F219" t="s">
        <v>1415</v>
      </c>
      <c r="G219" t="s">
        <v>1415</v>
      </c>
      <c r="H219" s="172"/>
      <c r="I219" t="s">
        <v>1435</v>
      </c>
      <c r="J219" s="172">
        <v>45596</v>
      </c>
      <c r="K219" s="172"/>
      <c r="L219" s="172"/>
      <c r="M219" s="172"/>
      <c r="N219" s="172"/>
      <c r="O219" s="12" t="s">
        <v>618</v>
      </c>
      <c r="P219" t="s">
        <v>1419</v>
      </c>
      <c r="Q219" t="s">
        <v>994</v>
      </c>
      <c r="R219" t="s">
        <v>994</v>
      </c>
      <c r="S219" t="s">
        <v>2118</v>
      </c>
      <c r="T219" t="s">
        <v>1419</v>
      </c>
    </row>
    <row r="220" spans="1:20">
      <c r="A220" s="12" t="s">
        <v>2130</v>
      </c>
      <c r="B220" t="s">
        <v>2131</v>
      </c>
      <c r="C220" t="s">
        <v>1545</v>
      </c>
      <c r="D220" t="s">
        <v>1600</v>
      </c>
      <c r="E220" t="s">
        <v>994</v>
      </c>
      <c r="F220" t="s">
        <v>1415</v>
      </c>
      <c r="G220" t="s">
        <v>1506</v>
      </c>
      <c r="H220" s="172">
        <v>45632</v>
      </c>
      <c r="I220" t="s">
        <v>1435</v>
      </c>
      <c r="J220" s="172">
        <v>45602</v>
      </c>
      <c r="K220" s="172">
        <v>45602</v>
      </c>
      <c r="L220" s="172">
        <v>45602</v>
      </c>
      <c r="M220" s="172">
        <v>45667</v>
      </c>
      <c r="N220" s="172">
        <v>45786</v>
      </c>
      <c r="O220" s="12" t="s">
        <v>2084</v>
      </c>
      <c r="P220" t="s">
        <v>1419</v>
      </c>
      <c r="Q220" t="s">
        <v>1234</v>
      </c>
      <c r="R220" t="s">
        <v>994</v>
      </c>
      <c r="S220" t="s">
        <v>2118</v>
      </c>
      <c r="T220" t="s">
        <v>1419</v>
      </c>
    </row>
    <row r="221" spans="1:20">
      <c r="A221" s="12" t="s">
        <v>1302</v>
      </c>
      <c r="B221" t="s">
        <v>2132</v>
      </c>
      <c r="C221" t="s">
        <v>458</v>
      </c>
      <c r="D221" t="s">
        <v>1637</v>
      </c>
      <c r="E221" t="s">
        <v>1956</v>
      </c>
      <c r="F221" t="s">
        <v>1415</v>
      </c>
      <c r="G221" t="s">
        <v>1473</v>
      </c>
      <c r="H221" s="172">
        <v>45611</v>
      </c>
      <c r="I221" t="s">
        <v>1417</v>
      </c>
      <c r="J221" s="172">
        <v>45547</v>
      </c>
      <c r="K221" s="172">
        <v>45547</v>
      </c>
      <c r="L221" s="172">
        <v>45597</v>
      </c>
      <c r="M221" s="172"/>
      <c r="N221" s="172"/>
      <c r="O221" s="12" t="s">
        <v>2133</v>
      </c>
      <c r="P221" t="s">
        <v>1419</v>
      </c>
      <c r="Q221" t="s">
        <v>994</v>
      </c>
      <c r="R221" t="s">
        <v>994</v>
      </c>
      <c r="S221" t="s">
        <v>2118</v>
      </c>
      <c r="T221" t="s">
        <v>1419</v>
      </c>
    </row>
    <row r="222" spans="1:20">
      <c r="A222" s="12" t="s">
        <v>2134</v>
      </c>
      <c r="B222" t="s">
        <v>2135</v>
      </c>
      <c r="C222" t="s">
        <v>1442</v>
      </c>
      <c r="D222" t="s">
        <v>1768</v>
      </c>
      <c r="E222" t="s">
        <v>1483</v>
      </c>
      <c r="F222" t="s">
        <v>1415</v>
      </c>
      <c r="G222" t="s">
        <v>1415</v>
      </c>
      <c r="H222" s="172">
        <v>45635</v>
      </c>
      <c r="I222" t="s">
        <v>1571</v>
      </c>
      <c r="J222" s="172"/>
      <c r="K222" s="172"/>
      <c r="L222" s="172"/>
      <c r="M222" s="172"/>
      <c r="N222" s="172"/>
      <c r="O222" s="12" t="s">
        <v>1769</v>
      </c>
      <c r="P222" t="s">
        <v>1419</v>
      </c>
      <c r="Q222" t="s">
        <v>994</v>
      </c>
      <c r="R222" t="s">
        <v>994</v>
      </c>
      <c r="S222" t="s">
        <v>2118</v>
      </c>
      <c r="T222" t="s">
        <v>2136</v>
      </c>
    </row>
    <row r="223" spans="1:20">
      <c r="A223" s="12" t="s">
        <v>2137</v>
      </c>
      <c r="B223" t="s">
        <v>2138</v>
      </c>
      <c r="C223" t="s">
        <v>1952</v>
      </c>
      <c r="D223" t="s">
        <v>1953</v>
      </c>
      <c r="E223" t="s">
        <v>994</v>
      </c>
      <c r="F223" t="s">
        <v>1415</v>
      </c>
      <c r="G223" t="s">
        <v>1415</v>
      </c>
      <c r="H223" s="172">
        <v>45670</v>
      </c>
      <c r="I223" t="s">
        <v>1435</v>
      </c>
      <c r="J223" s="172">
        <v>45602</v>
      </c>
      <c r="K223" s="172">
        <v>45611</v>
      </c>
      <c r="L223" s="172">
        <v>45611</v>
      </c>
      <c r="M223" s="172"/>
      <c r="N223" s="172"/>
      <c r="O223" s="12" t="s">
        <v>2139</v>
      </c>
      <c r="P223" t="s">
        <v>1419</v>
      </c>
      <c r="Q223" t="s">
        <v>1453</v>
      </c>
      <c r="R223" t="s">
        <v>994</v>
      </c>
      <c r="S223" t="s">
        <v>2118</v>
      </c>
      <c r="T223" t="s">
        <v>2140</v>
      </c>
    </row>
    <row r="224" spans="1:20">
      <c r="A224" s="12" t="s">
        <v>1065</v>
      </c>
      <c r="B224" t="s">
        <v>2141</v>
      </c>
      <c r="C224" t="s">
        <v>1487</v>
      </c>
      <c r="D224" t="s">
        <v>1488</v>
      </c>
      <c r="E224" t="s">
        <v>994</v>
      </c>
      <c r="F224" t="s">
        <v>1415</v>
      </c>
      <c r="G224" t="s">
        <v>1506</v>
      </c>
      <c r="H224" s="172">
        <v>45645</v>
      </c>
      <c r="I224" t="s">
        <v>1435</v>
      </c>
      <c r="J224" s="172">
        <v>45616</v>
      </c>
      <c r="K224" s="172"/>
      <c r="L224" s="172">
        <v>45616</v>
      </c>
      <c r="M224" s="172">
        <v>45616</v>
      </c>
      <c r="N224" s="172"/>
      <c r="O224" s="12" t="s">
        <v>2142</v>
      </c>
      <c r="P224" t="s">
        <v>1419</v>
      </c>
      <c r="Q224" t="s">
        <v>1234</v>
      </c>
      <c r="R224" t="s">
        <v>994</v>
      </c>
      <c r="S224" t="s">
        <v>2118</v>
      </c>
      <c r="T224" t="s">
        <v>1419</v>
      </c>
    </row>
    <row r="225" spans="1:20">
      <c r="A225" s="12" t="s">
        <v>2143</v>
      </c>
      <c r="B225" t="s">
        <v>2144</v>
      </c>
      <c r="C225" t="s">
        <v>1700</v>
      </c>
      <c r="D225" t="s">
        <v>1701</v>
      </c>
      <c r="E225" t="s">
        <v>1483</v>
      </c>
      <c r="F225" t="s">
        <v>1415</v>
      </c>
      <c r="G225" t="s">
        <v>1415</v>
      </c>
      <c r="H225" s="172">
        <v>45639</v>
      </c>
      <c r="I225" t="s">
        <v>1435</v>
      </c>
      <c r="J225" s="172">
        <v>45622</v>
      </c>
      <c r="K225" s="172">
        <v>45622</v>
      </c>
      <c r="L225" s="172">
        <v>45637</v>
      </c>
      <c r="M225" s="172"/>
      <c r="N225" s="172"/>
      <c r="O225" s="12" t="s">
        <v>1878</v>
      </c>
      <c r="P225" t="s">
        <v>1419</v>
      </c>
      <c r="Q225" t="s">
        <v>1234</v>
      </c>
      <c r="R225" t="s">
        <v>994</v>
      </c>
      <c r="S225" t="s">
        <v>2118</v>
      </c>
      <c r="T225" t="s">
        <v>1419</v>
      </c>
    </row>
    <row r="226" spans="1:20">
      <c r="A226" s="12" t="s">
        <v>2145</v>
      </c>
      <c r="B226" t="s">
        <v>2146</v>
      </c>
      <c r="C226" t="s">
        <v>1910</v>
      </c>
      <c r="D226" t="s">
        <v>1911</v>
      </c>
      <c r="E226" t="s">
        <v>1483</v>
      </c>
      <c r="F226" t="s">
        <v>1415</v>
      </c>
      <c r="G226" t="s">
        <v>1415</v>
      </c>
      <c r="H226" s="172">
        <v>45665</v>
      </c>
      <c r="I226" t="s">
        <v>1435</v>
      </c>
      <c r="J226" s="172"/>
      <c r="K226" s="172"/>
      <c r="L226" s="172"/>
      <c r="M226" s="172"/>
      <c r="N226" s="172"/>
      <c r="O226" s="12" t="s">
        <v>618</v>
      </c>
      <c r="P226" t="s">
        <v>1419</v>
      </c>
      <c r="Q226" t="s">
        <v>994</v>
      </c>
      <c r="R226" t="s">
        <v>994</v>
      </c>
      <c r="S226" t="s">
        <v>2118</v>
      </c>
      <c r="T226" t="s">
        <v>2147</v>
      </c>
    </row>
    <row r="227" spans="1:20">
      <c r="A227" s="12" t="s">
        <v>2148</v>
      </c>
      <c r="B227" t="s">
        <v>2149</v>
      </c>
      <c r="C227" t="s">
        <v>642</v>
      </c>
      <c r="D227" t="s">
        <v>1429</v>
      </c>
      <c r="E227" t="s">
        <v>994</v>
      </c>
      <c r="F227" t="s">
        <v>1415</v>
      </c>
      <c r="G227" t="s">
        <v>1415</v>
      </c>
      <c r="H227" s="172"/>
      <c r="I227" t="s">
        <v>1571</v>
      </c>
      <c r="J227" s="172">
        <v>45621</v>
      </c>
      <c r="K227" s="172"/>
      <c r="L227" s="172"/>
      <c r="M227" s="172"/>
      <c r="N227" s="172"/>
      <c r="O227" s="12" t="s">
        <v>2150</v>
      </c>
      <c r="P227" t="s">
        <v>1419</v>
      </c>
      <c r="Q227" t="s">
        <v>994</v>
      </c>
      <c r="R227" t="s">
        <v>994</v>
      </c>
      <c r="S227" t="s">
        <v>2118</v>
      </c>
      <c r="T227" t="s">
        <v>1419</v>
      </c>
    </row>
    <row r="228" spans="1:20">
      <c r="A228" s="12" t="s">
        <v>2151</v>
      </c>
      <c r="B228" t="s">
        <v>2152</v>
      </c>
      <c r="C228" t="s">
        <v>1662</v>
      </c>
      <c r="D228" t="s">
        <v>1663</v>
      </c>
      <c r="E228" t="s">
        <v>1483</v>
      </c>
      <c r="F228" t="s">
        <v>1415</v>
      </c>
      <c r="G228" t="s">
        <v>1473</v>
      </c>
      <c r="H228" s="172">
        <v>45625</v>
      </c>
      <c r="I228" t="s">
        <v>1435</v>
      </c>
      <c r="J228" s="172">
        <v>45579</v>
      </c>
      <c r="K228" s="172">
        <v>45588</v>
      </c>
      <c r="L228" s="172">
        <v>45611</v>
      </c>
      <c r="M228" s="172"/>
      <c r="N228" s="172"/>
      <c r="O228" s="12" t="s">
        <v>1720</v>
      </c>
      <c r="P228" t="s">
        <v>1419</v>
      </c>
      <c r="Q228" t="s">
        <v>1453</v>
      </c>
      <c r="R228" t="s">
        <v>994</v>
      </c>
      <c r="S228" t="s">
        <v>2118</v>
      </c>
      <c r="T228" t="s">
        <v>1419</v>
      </c>
    </row>
    <row r="229" spans="1:20">
      <c r="A229" s="12" t="s">
        <v>1122</v>
      </c>
      <c r="B229" t="s">
        <v>2153</v>
      </c>
      <c r="C229" t="s">
        <v>1497</v>
      </c>
      <c r="D229" t="s">
        <v>1498</v>
      </c>
      <c r="E229" t="s">
        <v>994</v>
      </c>
      <c r="F229" t="s">
        <v>1419</v>
      </c>
      <c r="G229" t="s">
        <v>1419</v>
      </c>
      <c r="H229" s="172">
        <v>45716</v>
      </c>
      <c r="I229" t="s">
        <v>1435</v>
      </c>
      <c r="J229" s="172">
        <v>45264</v>
      </c>
      <c r="K229" s="172">
        <v>45645</v>
      </c>
      <c r="L229" s="172">
        <v>45644</v>
      </c>
      <c r="M229" s="172">
        <v>45792</v>
      </c>
      <c r="N229" s="172">
        <v>45827</v>
      </c>
      <c r="O229" s="12" t="s">
        <v>1458</v>
      </c>
      <c r="P229" t="s">
        <v>1419</v>
      </c>
      <c r="Q229" t="s">
        <v>1234</v>
      </c>
      <c r="R229" t="s">
        <v>994</v>
      </c>
      <c r="S229" t="s">
        <v>2118</v>
      </c>
      <c r="T229" t="s">
        <v>1419</v>
      </c>
    </row>
    <row r="230" spans="1:20">
      <c r="A230" s="12" t="s">
        <v>2154</v>
      </c>
      <c r="B230" t="s">
        <v>2155</v>
      </c>
      <c r="C230" t="s">
        <v>786</v>
      </c>
      <c r="D230" t="s">
        <v>1464</v>
      </c>
      <c r="E230" t="s">
        <v>1483</v>
      </c>
      <c r="F230" t="s">
        <v>1419</v>
      </c>
      <c r="G230" t="s">
        <v>1419</v>
      </c>
      <c r="H230" s="172">
        <v>45644</v>
      </c>
      <c r="I230" t="s">
        <v>1435</v>
      </c>
      <c r="J230" s="172"/>
      <c r="K230" s="172"/>
      <c r="L230" s="172"/>
      <c r="M230" s="172"/>
      <c r="N230" s="172"/>
      <c r="O230" s="12" t="s">
        <v>1813</v>
      </c>
      <c r="P230" t="s">
        <v>1419</v>
      </c>
      <c r="Q230" t="s">
        <v>994</v>
      </c>
      <c r="R230" t="s">
        <v>994</v>
      </c>
      <c r="S230" t="s">
        <v>2118</v>
      </c>
      <c r="T230" t="s">
        <v>1419</v>
      </c>
    </row>
    <row r="231" spans="1:20">
      <c r="A231" s="12" t="s">
        <v>1290</v>
      </c>
      <c r="B231" t="s">
        <v>2156</v>
      </c>
      <c r="C231" t="s">
        <v>2157</v>
      </c>
      <c r="D231" t="s">
        <v>2158</v>
      </c>
      <c r="E231" t="s">
        <v>994</v>
      </c>
      <c r="F231" t="s">
        <v>1419</v>
      </c>
      <c r="G231" t="s">
        <v>1419</v>
      </c>
      <c r="H231" s="172"/>
      <c r="I231" t="s">
        <v>1435</v>
      </c>
      <c r="J231" s="172">
        <v>45530</v>
      </c>
      <c r="K231" s="172">
        <v>45543</v>
      </c>
      <c r="L231" s="172">
        <v>45530</v>
      </c>
      <c r="M231" s="172">
        <v>45554</v>
      </c>
      <c r="N231" s="172">
        <v>45554</v>
      </c>
      <c r="O231" s="12" t="s">
        <v>2159</v>
      </c>
      <c r="P231" t="s">
        <v>1419</v>
      </c>
      <c r="Q231" t="s">
        <v>1234</v>
      </c>
      <c r="R231" t="s">
        <v>1234</v>
      </c>
      <c r="S231" t="s">
        <v>2118</v>
      </c>
      <c r="T231" t="s">
        <v>1419</v>
      </c>
    </row>
    <row r="232" spans="1:20">
      <c r="A232" s="12" t="s">
        <v>1109</v>
      </c>
      <c r="B232" t="s">
        <v>2160</v>
      </c>
      <c r="C232" t="s">
        <v>786</v>
      </c>
      <c r="D232" t="s">
        <v>1493</v>
      </c>
      <c r="E232" t="s">
        <v>1414</v>
      </c>
      <c r="F232" t="s">
        <v>1419</v>
      </c>
      <c r="G232" t="s">
        <v>1419</v>
      </c>
      <c r="H232" s="172"/>
      <c r="I232" t="s">
        <v>1571</v>
      </c>
      <c r="J232" s="172">
        <v>45365</v>
      </c>
      <c r="K232" s="172">
        <v>45365</v>
      </c>
      <c r="L232" s="172">
        <v>45365</v>
      </c>
      <c r="M232" s="172">
        <v>45429</v>
      </c>
      <c r="N232" s="172">
        <v>45470</v>
      </c>
      <c r="O232" s="12" t="s">
        <v>618</v>
      </c>
      <c r="P232" t="s">
        <v>1419</v>
      </c>
      <c r="Q232" t="s">
        <v>1234</v>
      </c>
      <c r="R232" t="s">
        <v>1234</v>
      </c>
      <c r="S232" t="s">
        <v>2118</v>
      </c>
      <c r="T232" t="s">
        <v>1419</v>
      </c>
    </row>
    <row r="233" spans="1:20">
      <c r="A233" s="12" t="s">
        <v>1067</v>
      </c>
      <c r="B233" t="s">
        <v>2161</v>
      </c>
      <c r="C233" t="s">
        <v>642</v>
      </c>
      <c r="D233" t="s">
        <v>1429</v>
      </c>
      <c r="E233" t="s">
        <v>1483</v>
      </c>
      <c r="F233" t="s">
        <v>1419</v>
      </c>
      <c r="G233" t="s">
        <v>1419</v>
      </c>
      <c r="H233" s="172"/>
      <c r="I233" t="s">
        <v>1677</v>
      </c>
      <c r="J233" s="172">
        <v>45412</v>
      </c>
      <c r="K233" s="172"/>
      <c r="L233" s="172"/>
      <c r="M233" s="172"/>
      <c r="N233" s="172"/>
      <c r="O233" s="12" t="s">
        <v>2162</v>
      </c>
      <c r="P233" t="s">
        <v>1419</v>
      </c>
      <c r="Q233" t="s">
        <v>994</v>
      </c>
      <c r="R233" t="s">
        <v>994</v>
      </c>
      <c r="S233" t="s">
        <v>2118</v>
      </c>
      <c r="T233" t="s">
        <v>1419</v>
      </c>
    </row>
    <row r="234" spans="1:20">
      <c r="A234" s="12" t="s">
        <v>2163</v>
      </c>
      <c r="B234" t="s">
        <v>2164</v>
      </c>
      <c r="C234" t="s">
        <v>642</v>
      </c>
      <c r="D234" t="s">
        <v>1429</v>
      </c>
      <c r="E234" t="s">
        <v>1483</v>
      </c>
      <c r="F234" t="s">
        <v>1419</v>
      </c>
      <c r="G234" t="s">
        <v>1419</v>
      </c>
      <c r="H234" s="172"/>
      <c r="I234" t="s">
        <v>1435</v>
      </c>
      <c r="J234" s="172">
        <v>45516</v>
      </c>
      <c r="K234" s="172">
        <v>45590</v>
      </c>
      <c r="L234" s="172">
        <v>45590</v>
      </c>
      <c r="M234" s="172">
        <v>45597</v>
      </c>
      <c r="N234" s="172">
        <v>45618</v>
      </c>
      <c r="O234" s="12" t="s">
        <v>2165</v>
      </c>
      <c r="P234" t="s">
        <v>1419</v>
      </c>
      <c r="Q234" t="s">
        <v>1234</v>
      </c>
      <c r="R234" t="s">
        <v>1234</v>
      </c>
      <c r="S234" t="s">
        <v>2118</v>
      </c>
      <c r="T234" t="s">
        <v>1419</v>
      </c>
    </row>
    <row r="235" spans="1:20">
      <c r="A235" s="12" t="s">
        <v>1113</v>
      </c>
      <c r="B235" t="s">
        <v>2166</v>
      </c>
      <c r="C235" t="s">
        <v>2157</v>
      </c>
      <c r="D235" t="s">
        <v>2158</v>
      </c>
      <c r="E235" t="s">
        <v>1483</v>
      </c>
      <c r="F235" t="s">
        <v>1419</v>
      </c>
      <c r="G235" t="s">
        <v>1419</v>
      </c>
      <c r="H235" s="172"/>
      <c r="I235" t="s">
        <v>1417</v>
      </c>
      <c r="J235" s="172">
        <v>45545</v>
      </c>
      <c r="K235" s="172"/>
      <c r="L235" s="172"/>
      <c r="M235" s="172"/>
      <c r="N235" s="172"/>
      <c r="O235" s="12" t="s">
        <v>2167</v>
      </c>
      <c r="P235" t="s">
        <v>1419</v>
      </c>
      <c r="Q235" t="s">
        <v>994</v>
      </c>
      <c r="R235" t="s">
        <v>994</v>
      </c>
      <c r="S235" t="s">
        <v>2118</v>
      </c>
      <c r="T235" t="s">
        <v>1419</v>
      </c>
    </row>
    <row r="236" spans="1:20">
      <c r="A236" s="12" t="s">
        <v>1628</v>
      </c>
      <c r="B236" t="s">
        <v>1629</v>
      </c>
      <c r="C236" t="s">
        <v>1487</v>
      </c>
      <c r="D236" t="s">
        <v>1488</v>
      </c>
      <c r="E236" t="s">
        <v>994</v>
      </c>
      <c r="F236" t="s">
        <v>1619</v>
      </c>
      <c r="G236" t="s">
        <v>1419</v>
      </c>
      <c r="H236" s="172">
        <v>45576</v>
      </c>
      <c r="I236" t="s">
        <v>1417</v>
      </c>
      <c r="J236" s="172">
        <v>45414</v>
      </c>
      <c r="K236" s="172">
        <v>45414</v>
      </c>
      <c r="L236" s="172">
        <v>45681</v>
      </c>
      <c r="M236" s="172"/>
      <c r="N236" s="172"/>
      <c r="O236" s="12" t="s">
        <v>1630</v>
      </c>
      <c r="P236" t="s">
        <v>1419</v>
      </c>
      <c r="Q236" t="s">
        <v>1453</v>
      </c>
      <c r="R236" t="s">
        <v>1234</v>
      </c>
      <c r="S236" t="s">
        <v>2168</v>
      </c>
      <c r="T236" t="s">
        <v>2169</v>
      </c>
    </row>
    <row r="237" spans="1:20">
      <c r="A237" s="12" t="s">
        <v>2170</v>
      </c>
      <c r="B237" t="s">
        <v>2171</v>
      </c>
      <c r="C237" t="s">
        <v>642</v>
      </c>
      <c r="D237" t="s">
        <v>1429</v>
      </c>
      <c r="E237" t="s">
        <v>1414</v>
      </c>
      <c r="F237" t="s">
        <v>1619</v>
      </c>
      <c r="G237" t="s">
        <v>1419</v>
      </c>
      <c r="H237" s="172">
        <v>45589</v>
      </c>
      <c r="I237" t="s">
        <v>1435</v>
      </c>
      <c r="J237" s="172">
        <v>45560</v>
      </c>
      <c r="K237" s="172">
        <v>45560</v>
      </c>
      <c r="L237" s="172">
        <v>45560</v>
      </c>
      <c r="M237" s="172">
        <v>45574</v>
      </c>
      <c r="N237" s="172">
        <v>45573</v>
      </c>
      <c r="O237" s="12" t="s">
        <v>618</v>
      </c>
      <c r="P237" t="s">
        <v>1419</v>
      </c>
      <c r="Q237" t="s">
        <v>1234</v>
      </c>
      <c r="R237" t="s">
        <v>1234</v>
      </c>
      <c r="S237" t="s">
        <v>2168</v>
      </c>
      <c r="T237" t="s">
        <v>2172</v>
      </c>
    </row>
    <row r="238" spans="1:20">
      <c r="A238" s="12" t="s">
        <v>2173</v>
      </c>
      <c r="B238" t="s">
        <v>2174</v>
      </c>
      <c r="C238" t="s">
        <v>642</v>
      </c>
      <c r="D238" t="s">
        <v>1429</v>
      </c>
      <c r="E238" t="s">
        <v>994</v>
      </c>
      <c r="F238" t="s">
        <v>1619</v>
      </c>
      <c r="G238" t="s">
        <v>1419</v>
      </c>
      <c r="H238" s="172"/>
      <c r="I238" t="s">
        <v>1435</v>
      </c>
      <c r="J238" s="172">
        <v>45558</v>
      </c>
      <c r="K238" s="172">
        <v>45574</v>
      </c>
      <c r="L238" s="172">
        <v>45574</v>
      </c>
      <c r="M238" s="172"/>
      <c r="N238" s="172"/>
      <c r="O238" s="12" t="s">
        <v>2175</v>
      </c>
      <c r="P238" t="s">
        <v>1419</v>
      </c>
      <c r="Q238" t="s">
        <v>1234</v>
      </c>
      <c r="R238" t="s">
        <v>994</v>
      </c>
      <c r="S238" t="s">
        <v>2168</v>
      </c>
      <c r="T238" t="s">
        <v>2176</v>
      </c>
    </row>
    <row r="239" spans="1:20">
      <c r="A239" s="12" t="s">
        <v>2177</v>
      </c>
      <c r="B239" t="s">
        <v>2178</v>
      </c>
      <c r="C239" t="s">
        <v>786</v>
      </c>
      <c r="D239" t="s">
        <v>2179</v>
      </c>
      <c r="E239" t="s">
        <v>1483</v>
      </c>
      <c r="F239" t="s">
        <v>2180</v>
      </c>
      <c r="G239" t="s">
        <v>1419</v>
      </c>
      <c r="H239" s="172"/>
      <c r="I239" t="s">
        <v>1435</v>
      </c>
      <c r="J239" s="172">
        <v>45594</v>
      </c>
      <c r="K239" s="172">
        <v>45595</v>
      </c>
      <c r="L239" s="172">
        <v>45595</v>
      </c>
      <c r="M239" s="172">
        <v>45615</v>
      </c>
      <c r="N239" s="172">
        <v>45615</v>
      </c>
      <c r="O239" s="12" t="s">
        <v>618</v>
      </c>
      <c r="P239" t="s">
        <v>1419</v>
      </c>
      <c r="Q239" t="s">
        <v>1234</v>
      </c>
      <c r="R239" t="s">
        <v>1234</v>
      </c>
      <c r="S239" t="s">
        <v>2168</v>
      </c>
      <c r="T239" t="s">
        <v>2181</v>
      </c>
    </row>
    <row r="240" spans="1:20">
      <c r="A240" s="12" t="s">
        <v>2182</v>
      </c>
      <c r="B240" t="s">
        <v>2183</v>
      </c>
      <c r="C240" t="s">
        <v>642</v>
      </c>
      <c r="D240" t="s">
        <v>1984</v>
      </c>
      <c r="E240" t="s">
        <v>994</v>
      </c>
      <c r="F240" t="s">
        <v>2184</v>
      </c>
      <c r="G240" t="s">
        <v>1419</v>
      </c>
      <c r="H240" s="172"/>
      <c r="I240" t="s">
        <v>1435</v>
      </c>
      <c r="J240" s="172"/>
      <c r="K240" s="172"/>
      <c r="L240" s="172"/>
      <c r="M240" s="172"/>
      <c r="N240" s="172"/>
      <c r="O240" s="12" t="s">
        <v>618</v>
      </c>
      <c r="P240" t="s">
        <v>1419</v>
      </c>
      <c r="Q240" t="s">
        <v>994</v>
      </c>
      <c r="R240" t="s">
        <v>994</v>
      </c>
      <c r="S240" t="s">
        <v>2168</v>
      </c>
      <c r="T240" t="s">
        <v>2185</v>
      </c>
    </row>
    <row r="241" spans="1:20">
      <c r="A241" s="12" t="s">
        <v>2186</v>
      </c>
      <c r="B241" t="s">
        <v>2187</v>
      </c>
      <c r="C241" t="s">
        <v>642</v>
      </c>
      <c r="D241" t="s">
        <v>1984</v>
      </c>
      <c r="E241" t="s">
        <v>994</v>
      </c>
      <c r="F241" t="s">
        <v>2188</v>
      </c>
      <c r="G241" t="s">
        <v>1419</v>
      </c>
      <c r="H241" s="172"/>
      <c r="I241" t="s">
        <v>1435</v>
      </c>
      <c r="J241" s="172">
        <v>44728</v>
      </c>
      <c r="K241" s="172">
        <v>45583</v>
      </c>
      <c r="L241" s="172">
        <v>44854</v>
      </c>
      <c r="M241" s="172">
        <v>45506</v>
      </c>
      <c r="N241" s="172">
        <v>45716</v>
      </c>
      <c r="O241" s="12" t="s">
        <v>2189</v>
      </c>
      <c r="P241" t="s">
        <v>1419</v>
      </c>
      <c r="Q241" t="s">
        <v>1234</v>
      </c>
      <c r="R241" t="s">
        <v>1453</v>
      </c>
      <c r="S241" t="s">
        <v>2168</v>
      </c>
      <c r="T241" t="s">
        <v>2190</v>
      </c>
    </row>
    <row r="242" spans="1:20">
      <c r="A242" s="12" t="s">
        <v>1693</v>
      </c>
      <c r="B242" t="s">
        <v>1694</v>
      </c>
      <c r="C242" t="s">
        <v>642</v>
      </c>
      <c r="D242" t="s">
        <v>1429</v>
      </c>
      <c r="E242" t="s">
        <v>994</v>
      </c>
      <c r="F242" t="s">
        <v>2188</v>
      </c>
      <c r="G242" t="s">
        <v>1419</v>
      </c>
      <c r="H242" s="172"/>
      <c r="I242" t="s">
        <v>1435</v>
      </c>
      <c r="J242" s="172">
        <v>45385</v>
      </c>
      <c r="K242" s="172">
        <v>45562</v>
      </c>
      <c r="L242" s="172">
        <v>45463</v>
      </c>
      <c r="M242" s="172">
        <v>45561</v>
      </c>
      <c r="N242" s="172">
        <v>45596</v>
      </c>
      <c r="O242" s="12" t="s">
        <v>1695</v>
      </c>
      <c r="P242" t="s">
        <v>1419</v>
      </c>
      <c r="Q242" t="s">
        <v>1234</v>
      </c>
      <c r="R242" t="s">
        <v>1234</v>
      </c>
      <c r="S242" t="s">
        <v>2168</v>
      </c>
      <c r="T242" t="s">
        <v>1419</v>
      </c>
    </row>
    <row r="243" spans="1:20">
      <c r="A243" s="12" t="s">
        <v>1111</v>
      </c>
      <c r="B243" t="s">
        <v>2191</v>
      </c>
      <c r="C243" t="s">
        <v>2192</v>
      </c>
      <c r="D243" t="s">
        <v>2193</v>
      </c>
      <c r="E243" t="s">
        <v>994</v>
      </c>
      <c r="F243" t="s">
        <v>2194</v>
      </c>
      <c r="G243" t="s">
        <v>1419</v>
      </c>
      <c r="H243" s="172"/>
      <c r="I243" t="s">
        <v>1435</v>
      </c>
      <c r="J243" s="172">
        <v>45546</v>
      </c>
      <c r="K243" s="172">
        <v>45568</v>
      </c>
      <c r="L243" s="172">
        <v>45625</v>
      </c>
      <c r="M243" s="172">
        <v>45688</v>
      </c>
      <c r="N243" s="172"/>
      <c r="O243" s="12" t="s">
        <v>1658</v>
      </c>
      <c r="P243" t="s">
        <v>1419</v>
      </c>
      <c r="Q243" t="s">
        <v>1234</v>
      </c>
      <c r="R243" t="s">
        <v>994</v>
      </c>
      <c r="S243" t="s">
        <v>2168</v>
      </c>
      <c r="T243" t="s">
        <v>2195</v>
      </c>
    </row>
    <row r="244" spans="1:20">
      <c r="A244" s="12" t="s">
        <v>2196</v>
      </c>
      <c r="B244" t="s">
        <v>2197</v>
      </c>
      <c r="C244" t="s">
        <v>642</v>
      </c>
      <c r="D244" t="s">
        <v>1429</v>
      </c>
      <c r="E244" t="s">
        <v>994</v>
      </c>
      <c r="F244" t="s">
        <v>2198</v>
      </c>
      <c r="G244" t="s">
        <v>1419</v>
      </c>
      <c r="H244" s="172"/>
      <c r="I244" t="s">
        <v>1435</v>
      </c>
      <c r="J244" s="172">
        <v>45182</v>
      </c>
      <c r="K244" s="172"/>
      <c r="L244" s="172"/>
      <c r="M244" s="172"/>
      <c r="N244" s="172"/>
      <c r="O244" s="12" t="s">
        <v>618</v>
      </c>
      <c r="P244" t="s">
        <v>1419</v>
      </c>
      <c r="Q244" t="s">
        <v>994</v>
      </c>
      <c r="R244" t="s">
        <v>994</v>
      </c>
      <c r="S244" t="s">
        <v>2168</v>
      </c>
      <c r="T244" t="s">
        <v>2199</v>
      </c>
    </row>
    <row r="245" spans="1:20">
      <c r="A245" s="12" t="s">
        <v>2200</v>
      </c>
      <c r="B245" t="s">
        <v>2201</v>
      </c>
      <c r="C245" t="s">
        <v>642</v>
      </c>
      <c r="D245" t="s">
        <v>1429</v>
      </c>
      <c r="E245" t="s">
        <v>994</v>
      </c>
      <c r="F245" t="s">
        <v>2198</v>
      </c>
      <c r="G245" t="s">
        <v>1419</v>
      </c>
      <c r="H245" s="172"/>
      <c r="I245" t="s">
        <v>1435</v>
      </c>
      <c r="J245" s="172">
        <v>45559</v>
      </c>
      <c r="K245" s="172">
        <v>45559</v>
      </c>
      <c r="L245" s="172"/>
      <c r="M245" s="172"/>
      <c r="N245" s="172"/>
      <c r="O245" s="12" t="s">
        <v>618</v>
      </c>
      <c r="P245" t="s">
        <v>1419</v>
      </c>
      <c r="Q245" t="s">
        <v>994</v>
      </c>
      <c r="R245" t="s">
        <v>994</v>
      </c>
      <c r="S245" t="s">
        <v>2168</v>
      </c>
      <c r="T245" t="s">
        <v>1419</v>
      </c>
    </row>
    <row r="246" spans="1:20">
      <c r="A246" s="12" t="s">
        <v>2202</v>
      </c>
      <c r="B246" t="s">
        <v>2203</v>
      </c>
      <c r="C246" t="s">
        <v>1889</v>
      </c>
      <c r="D246" t="s">
        <v>1890</v>
      </c>
      <c r="E246" t="s">
        <v>994</v>
      </c>
      <c r="F246" t="s">
        <v>2198</v>
      </c>
      <c r="G246" t="s">
        <v>1419</v>
      </c>
      <c r="H246" s="172">
        <v>45664</v>
      </c>
      <c r="I246" t="s">
        <v>1435</v>
      </c>
      <c r="J246" s="172">
        <v>45226</v>
      </c>
      <c r="K246" s="172">
        <v>45226</v>
      </c>
      <c r="L246" s="172">
        <v>45695</v>
      </c>
      <c r="M246" s="172"/>
      <c r="N246" s="172"/>
      <c r="O246" s="12" t="s">
        <v>618</v>
      </c>
      <c r="P246" t="s">
        <v>1419</v>
      </c>
      <c r="Q246" t="s">
        <v>1453</v>
      </c>
      <c r="R246" t="s">
        <v>994</v>
      </c>
      <c r="S246" t="s">
        <v>2168</v>
      </c>
      <c r="T246" t="s">
        <v>2204</v>
      </c>
    </row>
    <row r="247" spans="1:20">
      <c r="A247" s="12" t="s">
        <v>2205</v>
      </c>
      <c r="B247" t="s">
        <v>2206</v>
      </c>
      <c r="C247" t="s">
        <v>786</v>
      </c>
      <c r="D247" t="s">
        <v>2179</v>
      </c>
      <c r="E247" t="s">
        <v>994</v>
      </c>
      <c r="F247" t="s">
        <v>2198</v>
      </c>
      <c r="G247" t="s">
        <v>1419</v>
      </c>
      <c r="H247" s="172"/>
      <c r="I247" t="s">
        <v>1435</v>
      </c>
      <c r="J247" s="172">
        <v>45481</v>
      </c>
      <c r="K247" s="172">
        <v>45562</v>
      </c>
      <c r="L247" s="172">
        <v>45562</v>
      </c>
      <c r="M247" s="172">
        <v>45562</v>
      </c>
      <c r="N247" s="172">
        <v>45562</v>
      </c>
      <c r="O247" s="12" t="s">
        <v>618</v>
      </c>
      <c r="P247" t="s">
        <v>1419</v>
      </c>
      <c r="Q247" t="s">
        <v>1234</v>
      </c>
      <c r="R247" t="s">
        <v>1234</v>
      </c>
      <c r="S247" t="s">
        <v>2168</v>
      </c>
      <c r="T247" t="s">
        <v>2207</v>
      </c>
    </row>
    <row r="248" spans="1:20">
      <c r="A248" s="12" t="s">
        <v>2208</v>
      </c>
      <c r="B248" t="s">
        <v>2209</v>
      </c>
      <c r="C248" t="s">
        <v>1497</v>
      </c>
      <c r="D248" t="s">
        <v>1778</v>
      </c>
      <c r="E248" t="s">
        <v>1956</v>
      </c>
      <c r="F248" t="s">
        <v>2210</v>
      </c>
      <c r="G248" t="s">
        <v>1419</v>
      </c>
      <c r="H248" s="172"/>
      <c r="I248" t="s">
        <v>1417</v>
      </c>
      <c r="J248" s="172"/>
      <c r="K248" s="172"/>
      <c r="L248" s="172"/>
      <c r="M248" s="172"/>
      <c r="N248" s="172"/>
      <c r="O248" s="12" t="s">
        <v>1769</v>
      </c>
      <c r="P248" t="s">
        <v>1419</v>
      </c>
      <c r="Q248" t="s">
        <v>994</v>
      </c>
      <c r="R248" t="s">
        <v>994</v>
      </c>
      <c r="S248" t="s">
        <v>2168</v>
      </c>
      <c r="T248" t="s">
        <v>1419</v>
      </c>
    </row>
    <row r="249" spans="1:20">
      <c r="A249" s="12" t="s">
        <v>2211</v>
      </c>
      <c r="B249" t="s">
        <v>2212</v>
      </c>
      <c r="C249" t="s">
        <v>642</v>
      </c>
      <c r="D249" t="s">
        <v>1429</v>
      </c>
      <c r="E249" t="s">
        <v>994</v>
      </c>
      <c r="F249" t="s">
        <v>2213</v>
      </c>
      <c r="G249" t="s">
        <v>1419</v>
      </c>
      <c r="H249" s="172"/>
      <c r="I249" t="s">
        <v>1435</v>
      </c>
      <c r="J249" s="172">
        <v>45569</v>
      </c>
      <c r="K249" s="172">
        <v>45572</v>
      </c>
      <c r="L249" s="172">
        <v>45622</v>
      </c>
      <c r="M249" s="172">
        <v>45681</v>
      </c>
      <c r="N249" s="172"/>
      <c r="O249" s="12" t="s">
        <v>618</v>
      </c>
      <c r="P249" t="s">
        <v>1419</v>
      </c>
      <c r="Q249" t="s">
        <v>1234</v>
      </c>
      <c r="R249" t="s">
        <v>994</v>
      </c>
      <c r="S249" t="s">
        <v>2168</v>
      </c>
      <c r="T249" t="s">
        <v>2214</v>
      </c>
    </row>
    <row r="250" spans="1:20">
      <c r="A250" s="12" t="s">
        <v>2215</v>
      </c>
      <c r="B250" t="s">
        <v>2216</v>
      </c>
      <c r="C250" t="s">
        <v>786</v>
      </c>
      <c r="D250" t="s">
        <v>1493</v>
      </c>
      <c r="E250" t="s">
        <v>1414</v>
      </c>
      <c r="F250" t="s">
        <v>2217</v>
      </c>
      <c r="G250" t="s">
        <v>1419</v>
      </c>
      <c r="H250" s="172"/>
      <c r="I250" t="s">
        <v>1677</v>
      </c>
      <c r="J250" s="172">
        <v>45546</v>
      </c>
      <c r="K250" s="172">
        <v>45546</v>
      </c>
      <c r="L250" s="172">
        <v>45546</v>
      </c>
      <c r="M250" s="172">
        <v>45615</v>
      </c>
      <c r="N250" s="172">
        <v>45615</v>
      </c>
      <c r="O250" s="12" t="s">
        <v>618</v>
      </c>
      <c r="P250" t="s">
        <v>1419</v>
      </c>
      <c r="Q250" t="s">
        <v>1234</v>
      </c>
      <c r="R250" t="s">
        <v>1234</v>
      </c>
      <c r="S250" t="s">
        <v>2168</v>
      </c>
      <c r="T250" t="s">
        <v>2218</v>
      </c>
    </row>
    <row r="251" spans="1:20">
      <c r="A251" s="12" t="s">
        <v>2219</v>
      </c>
      <c r="B251" t="s">
        <v>2220</v>
      </c>
      <c r="C251" t="s">
        <v>642</v>
      </c>
      <c r="D251" t="s">
        <v>1429</v>
      </c>
      <c r="E251" t="s">
        <v>994</v>
      </c>
      <c r="F251" t="s">
        <v>2221</v>
      </c>
      <c r="G251" t="s">
        <v>1419</v>
      </c>
      <c r="H251" s="172"/>
      <c r="I251" t="s">
        <v>1435</v>
      </c>
      <c r="J251" s="172">
        <v>45558</v>
      </c>
      <c r="K251" s="172">
        <v>45576</v>
      </c>
      <c r="L251" s="172">
        <v>45576</v>
      </c>
      <c r="M251" s="172">
        <v>45576</v>
      </c>
      <c r="N251" s="172">
        <v>45576</v>
      </c>
      <c r="O251" s="12" t="s">
        <v>618</v>
      </c>
      <c r="P251" t="s">
        <v>1419</v>
      </c>
      <c r="Q251" t="s">
        <v>1234</v>
      </c>
      <c r="R251" t="s">
        <v>1234</v>
      </c>
      <c r="S251" t="s">
        <v>2168</v>
      </c>
      <c r="T251" t="s">
        <v>2222</v>
      </c>
    </row>
    <row r="252" spans="1:20">
      <c r="A252" s="12" t="s">
        <v>2223</v>
      </c>
      <c r="B252" t="s">
        <v>2224</v>
      </c>
      <c r="C252" t="s">
        <v>772</v>
      </c>
      <c r="D252" t="s">
        <v>1669</v>
      </c>
      <c r="E252" t="s">
        <v>1483</v>
      </c>
      <c r="F252" t="s">
        <v>2221</v>
      </c>
      <c r="G252" t="s">
        <v>1419</v>
      </c>
      <c r="H252" s="172"/>
      <c r="I252" t="s">
        <v>1417</v>
      </c>
      <c r="J252" s="172">
        <v>45561</v>
      </c>
      <c r="K252" s="172"/>
      <c r="L252" s="172"/>
      <c r="M252" s="172"/>
      <c r="N252" s="172"/>
      <c r="O252" s="12" t="s">
        <v>2225</v>
      </c>
      <c r="P252" t="s">
        <v>1419</v>
      </c>
      <c r="Q252" t="s">
        <v>994</v>
      </c>
      <c r="R252" t="s">
        <v>994</v>
      </c>
      <c r="S252" t="s">
        <v>2168</v>
      </c>
      <c r="T252" t="s">
        <v>2226</v>
      </c>
    </row>
    <row r="253" spans="1:20">
      <c r="A253" s="12" t="s">
        <v>2227</v>
      </c>
      <c r="B253" t="s">
        <v>2228</v>
      </c>
      <c r="C253" t="s">
        <v>772</v>
      </c>
      <c r="D253" t="s">
        <v>1669</v>
      </c>
      <c r="E253" t="s">
        <v>994</v>
      </c>
      <c r="F253" t="s">
        <v>2221</v>
      </c>
      <c r="G253" t="s">
        <v>1419</v>
      </c>
      <c r="H253" s="172"/>
      <c r="I253" t="s">
        <v>1435</v>
      </c>
      <c r="J253" s="172">
        <v>45568</v>
      </c>
      <c r="K253" s="172">
        <v>45568</v>
      </c>
      <c r="L253" s="172">
        <v>45568</v>
      </c>
      <c r="M253" s="172">
        <v>45789</v>
      </c>
      <c r="N253" s="172"/>
      <c r="O253" s="12" t="s">
        <v>618</v>
      </c>
      <c r="P253" t="s">
        <v>1419</v>
      </c>
      <c r="Q253" t="s">
        <v>1234</v>
      </c>
      <c r="R253" t="s">
        <v>994</v>
      </c>
      <c r="S253" t="s">
        <v>2168</v>
      </c>
      <c r="T253" t="s">
        <v>2229</v>
      </c>
    </row>
    <row r="254" spans="1:20">
      <c r="A254" s="12" t="s">
        <v>2230</v>
      </c>
      <c r="B254" t="s">
        <v>2231</v>
      </c>
      <c r="C254" t="s">
        <v>321</v>
      </c>
      <c r="D254" t="s">
        <v>1530</v>
      </c>
      <c r="E254" t="s">
        <v>994</v>
      </c>
      <c r="F254" t="s">
        <v>2232</v>
      </c>
      <c r="G254" t="s">
        <v>1419</v>
      </c>
      <c r="H254" s="172">
        <v>45607</v>
      </c>
      <c r="I254" t="s">
        <v>1435</v>
      </c>
      <c r="J254" s="172">
        <v>45559</v>
      </c>
      <c r="K254" s="172">
        <v>45569</v>
      </c>
      <c r="L254" s="172"/>
      <c r="M254" s="172"/>
      <c r="N254" s="172"/>
      <c r="O254" s="12" t="s">
        <v>1658</v>
      </c>
      <c r="P254" t="s">
        <v>1419</v>
      </c>
      <c r="Q254" t="s">
        <v>1453</v>
      </c>
      <c r="R254" t="s">
        <v>994</v>
      </c>
      <c r="S254" t="s">
        <v>2168</v>
      </c>
      <c r="T254" t="s">
        <v>2233</v>
      </c>
    </row>
    <row r="255" spans="1:20">
      <c r="A255" s="12" t="s">
        <v>2234</v>
      </c>
      <c r="B255" t="s">
        <v>2235</v>
      </c>
      <c r="C255" t="s">
        <v>786</v>
      </c>
      <c r="D255" t="s">
        <v>1464</v>
      </c>
      <c r="E255" t="s">
        <v>994</v>
      </c>
      <c r="F255" t="s">
        <v>2236</v>
      </c>
      <c r="G255" t="s">
        <v>1419</v>
      </c>
      <c r="H255" s="172">
        <v>45576</v>
      </c>
      <c r="I255" t="s">
        <v>1571</v>
      </c>
      <c r="J255" s="172">
        <v>45609</v>
      </c>
      <c r="K255" s="172">
        <v>45609</v>
      </c>
      <c r="L255" s="172">
        <v>45609</v>
      </c>
      <c r="M255" s="172">
        <v>45623</v>
      </c>
      <c r="N255" s="172">
        <v>45623</v>
      </c>
      <c r="O255" s="12" t="s">
        <v>618</v>
      </c>
      <c r="P255" t="s">
        <v>1419</v>
      </c>
      <c r="Q255" t="s">
        <v>1234</v>
      </c>
      <c r="R255" t="s">
        <v>1234</v>
      </c>
      <c r="S255" t="s">
        <v>2168</v>
      </c>
      <c r="T255" t="s">
        <v>2237</v>
      </c>
    </row>
    <row r="256" spans="1:20">
      <c r="A256" s="12" t="s">
        <v>2238</v>
      </c>
      <c r="B256" t="s">
        <v>2239</v>
      </c>
      <c r="C256" t="s">
        <v>1487</v>
      </c>
      <c r="D256" t="s">
        <v>1488</v>
      </c>
      <c r="E256" t="s">
        <v>994</v>
      </c>
      <c r="F256" t="s">
        <v>2236</v>
      </c>
      <c r="G256" t="s">
        <v>1419</v>
      </c>
      <c r="H256" s="172"/>
      <c r="I256" t="s">
        <v>1435</v>
      </c>
      <c r="J256" s="172">
        <v>45509</v>
      </c>
      <c r="K256" s="172">
        <v>45509</v>
      </c>
      <c r="L256" s="172">
        <v>45551</v>
      </c>
      <c r="M256" s="172">
        <v>45551</v>
      </c>
      <c r="N256" s="172">
        <v>45688</v>
      </c>
      <c r="O256" s="12" t="s">
        <v>618</v>
      </c>
      <c r="P256" t="s">
        <v>1419</v>
      </c>
      <c r="Q256" t="s">
        <v>1234</v>
      </c>
      <c r="R256" t="s">
        <v>994</v>
      </c>
      <c r="S256" t="s">
        <v>2168</v>
      </c>
      <c r="T256" t="s">
        <v>2240</v>
      </c>
    </row>
    <row r="257" spans="1:20">
      <c r="A257" s="12" t="s">
        <v>1446</v>
      </c>
      <c r="B257" t="s">
        <v>1447</v>
      </c>
      <c r="C257" t="s">
        <v>642</v>
      </c>
      <c r="D257" t="s">
        <v>1429</v>
      </c>
      <c r="E257" t="s">
        <v>1414</v>
      </c>
      <c r="F257" t="s">
        <v>2241</v>
      </c>
      <c r="G257" t="s">
        <v>1419</v>
      </c>
      <c r="H257" s="172"/>
      <c r="I257" t="s">
        <v>1417</v>
      </c>
      <c r="J257" s="172">
        <v>45400</v>
      </c>
      <c r="K257" s="172">
        <v>45412</v>
      </c>
      <c r="L257" s="172">
        <v>45412</v>
      </c>
      <c r="M257" s="172">
        <v>45463</v>
      </c>
      <c r="N257" s="172">
        <v>45497</v>
      </c>
      <c r="O257" s="12" t="s">
        <v>1449</v>
      </c>
      <c r="P257" t="s">
        <v>1419</v>
      </c>
      <c r="Q257" t="s">
        <v>1234</v>
      </c>
      <c r="R257" t="s">
        <v>1234</v>
      </c>
      <c r="S257" t="s">
        <v>2168</v>
      </c>
      <c r="T257" t="s">
        <v>2242</v>
      </c>
    </row>
    <row r="258" spans="1:20">
      <c r="A258" s="12" t="s">
        <v>1032</v>
      </c>
      <c r="B258" t="s">
        <v>2243</v>
      </c>
      <c r="C258" t="s">
        <v>642</v>
      </c>
      <c r="D258" t="s">
        <v>1984</v>
      </c>
      <c r="E258" t="s">
        <v>994</v>
      </c>
      <c r="F258" t="s">
        <v>2244</v>
      </c>
      <c r="G258" t="s">
        <v>1419</v>
      </c>
      <c r="H258" s="172"/>
      <c r="I258" t="s">
        <v>1435</v>
      </c>
      <c r="J258" s="172">
        <v>45527</v>
      </c>
      <c r="K258" s="172">
        <v>45527</v>
      </c>
      <c r="L258" s="172">
        <v>45527</v>
      </c>
      <c r="M258" s="172">
        <v>45616</v>
      </c>
      <c r="N258" s="172">
        <v>45688</v>
      </c>
      <c r="O258" s="12" t="s">
        <v>618</v>
      </c>
      <c r="P258" t="s">
        <v>1419</v>
      </c>
      <c r="Q258" t="s">
        <v>1234</v>
      </c>
      <c r="R258" t="s">
        <v>1453</v>
      </c>
      <c r="S258" t="s">
        <v>2168</v>
      </c>
      <c r="T258" t="s">
        <v>2245</v>
      </c>
    </row>
    <row r="259" spans="1:20">
      <c r="A259" s="12" t="s">
        <v>1170</v>
      </c>
      <c r="B259" t="s">
        <v>1671</v>
      </c>
      <c r="C259" t="s">
        <v>772</v>
      </c>
      <c r="D259" t="s">
        <v>1669</v>
      </c>
      <c r="E259" t="s">
        <v>994</v>
      </c>
      <c r="F259" t="s">
        <v>2246</v>
      </c>
      <c r="G259" t="s">
        <v>1419</v>
      </c>
      <c r="H259" s="172">
        <v>45664</v>
      </c>
      <c r="I259" t="s">
        <v>1435</v>
      </c>
      <c r="J259" s="172">
        <v>45488</v>
      </c>
      <c r="K259" s="172">
        <v>45488</v>
      </c>
      <c r="L259" s="172">
        <v>45488</v>
      </c>
      <c r="M259" s="172">
        <v>45488</v>
      </c>
      <c r="N259" s="172">
        <v>45513</v>
      </c>
      <c r="O259" s="12" t="s">
        <v>1672</v>
      </c>
      <c r="P259" t="s">
        <v>1419</v>
      </c>
      <c r="Q259" t="s">
        <v>1234</v>
      </c>
      <c r="R259" t="s">
        <v>1234</v>
      </c>
      <c r="S259" t="s">
        <v>2168</v>
      </c>
      <c r="T259" t="s">
        <v>2247</v>
      </c>
    </row>
    <row r="260" spans="1:20">
      <c r="A260" s="12" t="s">
        <v>1245</v>
      </c>
      <c r="B260" t="s">
        <v>2248</v>
      </c>
      <c r="C260" t="s">
        <v>1650</v>
      </c>
      <c r="D260" t="s">
        <v>1651</v>
      </c>
      <c r="E260" t="s">
        <v>994</v>
      </c>
      <c r="F260" t="s">
        <v>2249</v>
      </c>
      <c r="G260" t="s">
        <v>1419</v>
      </c>
      <c r="H260" s="172">
        <v>45589</v>
      </c>
      <c r="I260" t="s">
        <v>1435</v>
      </c>
      <c r="J260" s="172">
        <v>45576</v>
      </c>
      <c r="K260" s="172">
        <v>45597</v>
      </c>
      <c r="L260" s="172">
        <v>45607</v>
      </c>
      <c r="M260" s="172">
        <v>45716</v>
      </c>
      <c r="N260" s="172"/>
      <c r="O260" s="12" t="s">
        <v>2250</v>
      </c>
      <c r="P260" t="s">
        <v>1419</v>
      </c>
      <c r="Q260" t="s">
        <v>1234</v>
      </c>
      <c r="R260" t="s">
        <v>994</v>
      </c>
      <c r="S260" t="s">
        <v>2168</v>
      </c>
      <c r="T260" t="s">
        <v>2251</v>
      </c>
    </row>
    <row r="261" spans="1:20">
      <c r="A261" s="12" t="s">
        <v>1084</v>
      </c>
      <c r="B261" t="s">
        <v>1733</v>
      </c>
      <c r="C261" t="s">
        <v>1521</v>
      </c>
      <c r="D261" t="s">
        <v>1522</v>
      </c>
      <c r="E261" t="s">
        <v>994</v>
      </c>
      <c r="F261" t="s">
        <v>2252</v>
      </c>
      <c r="G261" t="s">
        <v>1419</v>
      </c>
      <c r="H261" s="172"/>
      <c r="I261" t="s">
        <v>1435</v>
      </c>
      <c r="J261" s="172">
        <v>45478</v>
      </c>
      <c r="K261" s="172">
        <v>45478</v>
      </c>
      <c r="L261" s="172">
        <v>45583</v>
      </c>
      <c r="M261" s="172">
        <v>45583</v>
      </c>
      <c r="N261" s="172">
        <v>45628</v>
      </c>
      <c r="O261" s="12" t="s">
        <v>1734</v>
      </c>
      <c r="P261" t="s">
        <v>1419</v>
      </c>
      <c r="Q261" t="s">
        <v>1234</v>
      </c>
      <c r="R261" t="s">
        <v>1234</v>
      </c>
      <c r="S261" t="s">
        <v>2168</v>
      </c>
      <c r="T261" t="s">
        <v>2253</v>
      </c>
    </row>
    <row r="262" spans="1:20">
      <c r="A262" s="12" t="s">
        <v>2254</v>
      </c>
      <c r="B262" t="s">
        <v>2255</v>
      </c>
      <c r="C262" t="s">
        <v>642</v>
      </c>
      <c r="D262" t="s">
        <v>1429</v>
      </c>
      <c r="E262" t="s">
        <v>994</v>
      </c>
      <c r="F262" t="s">
        <v>2256</v>
      </c>
      <c r="G262" t="s">
        <v>1419</v>
      </c>
      <c r="H262" s="172">
        <v>45589</v>
      </c>
      <c r="I262" t="s">
        <v>1435</v>
      </c>
      <c r="J262" s="172">
        <v>45565</v>
      </c>
      <c r="K262" s="172">
        <v>45581</v>
      </c>
      <c r="L262" s="172"/>
      <c r="M262" s="172"/>
      <c r="N262" s="172"/>
      <c r="O262" s="12" t="s">
        <v>618</v>
      </c>
      <c r="P262" t="s">
        <v>1419</v>
      </c>
      <c r="Q262" t="s">
        <v>994</v>
      </c>
      <c r="R262" t="s">
        <v>994</v>
      </c>
      <c r="S262" t="s">
        <v>2168</v>
      </c>
      <c r="T262" t="s">
        <v>2257</v>
      </c>
    </row>
    <row r="263" spans="1:20">
      <c r="A263" s="12" t="s">
        <v>2258</v>
      </c>
      <c r="B263" t="s">
        <v>2259</v>
      </c>
      <c r="C263" t="s">
        <v>786</v>
      </c>
      <c r="D263" t="s">
        <v>2179</v>
      </c>
      <c r="E263" t="s">
        <v>994</v>
      </c>
      <c r="F263" t="s">
        <v>1419</v>
      </c>
      <c r="G263" t="s">
        <v>1419</v>
      </c>
      <c r="H263" s="172"/>
      <c r="I263" t="s">
        <v>1435</v>
      </c>
      <c r="J263" s="172">
        <v>45665</v>
      </c>
      <c r="K263" s="172"/>
      <c r="L263" s="172"/>
      <c r="M263" s="172"/>
      <c r="N263" s="172"/>
      <c r="O263" s="12" t="s">
        <v>618</v>
      </c>
      <c r="P263" t="s">
        <v>1419</v>
      </c>
      <c r="Q263" t="s">
        <v>994</v>
      </c>
      <c r="R263" t="s">
        <v>994</v>
      </c>
      <c r="S263" t="s">
        <v>2168</v>
      </c>
      <c r="T263" t="s">
        <v>1419</v>
      </c>
    </row>
    <row r="264" spans="1:20">
      <c r="A264" s="12" t="s">
        <v>2260</v>
      </c>
      <c r="B264" t="s">
        <v>2261</v>
      </c>
      <c r="C264" t="s">
        <v>786</v>
      </c>
      <c r="D264" t="s">
        <v>1493</v>
      </c>
      <c r="E264" t="s">
        <v>1483</v>
      </c>
      <c r="F264" t="s">
        <v>1419</v>
      </c>
      <c r="G264" t="s">
        <v>1419</v>
      </c>
      <c r="H264" s="172"/>
      <c r="I264" t="s">
        <v>1677</v>
      </c>
      <c r="J264" s="172"/>
      <c r="K264" s="172"/>
      <c r="L264" s="172"/>
      <c r="M264" s="172"/>
      <c r="N264" s="172"/>
      <c r="O264" s="12" t="s">
        <v>618</v>
      </c>
      <c r="P264" t="s">
        <v>1419</v>
      </c>
      <c r="Q264" t="s">
        <v>994</v>
      </c>
      <c r="R264" t="s">
        <v>994</v>
      </c>
      <c r="S264" t="s">
        <v>2168</v>
      </c>
      <c r="T264" t="s">
        <v>1419</v>
      </c>
    </row>
    <row r="265" spans="1:20">
      <c r="A265" s="12" t="s">
        <v>2262</v>
      </c>
      <c r="B265" t="s">
        <v>2263</v>
      </c>
      <c r="C265" t="s">
        <v>642</v>
      </c>
      <c r="D265" t="s">
        <v>1984</v>
      </c>
      <c r="E265" t="s">
        <v>994</v>
      </c>
      <c r="F265" t="s">
        <v>1419</v>
      </c>
      <c r="G265" t="s">
        <v>1419</v>
      </c>
      <c r="H265" s="172"/>
      <c r="I265" t="s">
        <v>1435</v>
      </c>
      <c r="J265" s="172">
        <v>45609</v>
      </c>
      <c r="K265" s="172">
        <v>45646</v>
      </c>
      <c r="L265" s="172"/>
      <c r="M265" s="172"/>
      <c r="N265" s="172"/>
      <c r="O265" s="12" t="s">
        <v>618</v>
      </c>
      <c r="P265" t="s">
        <v>1419</v>
      </c>
      <c r="Q265" t="s">
        <v>994</v>
      </c>
      <c r="R265" t="s">
        <v>994</v>
      </c>
      <c r="S265" t="s">
        <v>2168</v>
      </c>
      <c r="T265" t="s">
        <v>1419</v>
      </c>
    </row>
    <row r="266" spans="1:20">
      <c r="A266" s="12" t="s">
        <v>2264</v>
      </c>
      <c r="B266" t="s">
        <v>2265</v>
      </c>
      <c r="C266" t="s">
        <v>1592</v>
      </c>
      <c r="D266" t="s">
        <v>2028</v>
      </c>
      <c r="E266" t="s">
        <v>994</v>
      </c>
      <c r="F266" t="s">
        <v>1419</v>
      </c>
      <c r="G266" t="s">
        <v>1419</v>
      </c>
      <c r="H266" s="172"/>
      <c r="I266" t="s">
        <v>1677</v>
      </c>
      <c r="J266" s="172">
        <v>45649</v>
      </c>
      <c r="K266" s="172"/>
      <c r="L266" s="172"/>
      <c r="M266" s="172"/>
      <c r="N266" s="172"/>
      <c r="O266" s="12" t="s">
        <v>618</v>
      </c>
      <c r="P266" t="s">
        <v>1419</v>
      </c>
      <c r="Q266" t="s">
        <v>994</v>
      </c>
      <c r="R266" t="s">
        <v>994</v>
      </c>
      <c r="S266" t="s">
        <v>2168</v>
      </c>
      <c r="T266" t="s">
        <v>1419</v>
      </c>
    </row>
    <row r="267" spans="1:20">
      <c r="A267" s="12" t="s">
        <v>2266</v>
      </c>
      <c r="B267" t="s">
        <v>2267</v>
      </c>
      <c r="C267" t="s">
        <v>1419</v>
      </c>
      <c r="D267" t="s">
        <v>1419</v>
      </c>
      <c r="E267" t="s">
        <v>1414</v>
      </c>
      <c r="F267" t="s">
        <v>1419</v>
      </c>
      <c r="G267" t="s">
        <v>1419</v>
      </c>
      <c r="H267" s="172"/>
      <c r="I267" t="s">
        <v>1417</v>
      </c>
      <c r="J267" s="172">
        <v>45553</v>
      </c>
      <c r="K267" s="172">
        <v>45553</v>
      </c>
      <c r="L267" s="172">
        <v>45573</v>
      </c>
      <c r="M267" s="172">
        <v>45573</v>
      </c>
      <c r="N267" s="172">
        <v>45573</v>
      </c>
      <c r="O267" s="12" t="s">
        <v>2268</v>
      </c>
      <c r="P267" t="s">
        <v>1419</v>
      </c>
      <c r="Q267" t="s">
        <v>1234</v>
      </c>
      <c r="R267" t="s">
        <v>1234</v>
      </c>
      <c r="S267" t="s">
        <v>2168</v>
      </c>
      <c r="T267" t="s">
        <v>1419</v>
      </c>
    </row>
    <row r="268" spans="1:20">
      <c r="A268" s="12" t="s">
        <v>1099</v>
      </c>
      <c r="B268" t="s">
        <v>2269</v>
      </c>
      <c r="C268" t="s">
        <v>642</v>
      </c>
      <c r="D268" t="s">
        <v>1984</v>
      </c>
      <c r="E268" t="s">
        <v>994</v>
      </c>
      <c r="F268" t="s">
        <v>1419</v>
      </c>
      <c r="G268" t="s">
        <v>1419</v>
      </c>
      <c r="H268" s="172"/>
      <c r="I268" t="s">
        <v>1435</v>
      </c>
      <c r="J268" s="172">
        <v>45589</v>
      </c>
      <c r="K268" s="172">
        <v>45625</v>
      </c>
      <c r="L268" s="172">
        <v>45638</v>
      </c>
      <c r="M268" s="172">
        <v>45681</v>
      </c>
      <c r="N268" s="172"/>
      <c r="O268" s="12" t="s">
        <v>618</v>
      </c>
      <c r="P268" t="s">
        <v>1419</v>
      </c>
      <c r="Q268" t="s">
        <v>1453</v>
      </c>
      <c r="R268" t="s">
        <v>994</v>
      </c>
      <c r="S268" t="s">
        <v>2168</v>
      </c>
      <c r="T268" t="s">
        <v>1419</v>
      </c>
    </row>
    <row r="269" spans="1:20">
      <c r="A269" s="12" t="s">
        <v>2270</v>
      </c>
      <c r="B269" t="s">
        <v>2271</v>
      </c>
      <c r="C269" t="s">
        <v>786</v>
      </c>
      <c r="D269" t="s">
        <v>1493</v>
      </c>
      <c r="E269" t="s">
        <v>994</v>
      </c>
      <c r="F269" t="s">
        <v>1419</v>
      </c>
      <c r="G269" t="s">
        <v>1419</v>
      </c>
      <c r="H269" s="172"/>
      <c r="I269" t="s">
        <v>1435</v>
      </c>
      <c r="J269" s="172">
        <v>45660</v>
      </c>
      <c r="K269" s="172"/>
      <c r="L269" s="172"/>
      <c r="M269" s="172"/>
      <c r="N269" s="172"/>
      <c r="O269" s="12" t="s">
        <v>618</v>
      </c>
      <c r="P269" t="s">
        <v>1419</v>
      </c>
      <c r="Q269" t="s">
        <v>994</v>
      </c>
      <c r="R269" t="s">
        <v>994</v>
      </c>
      <c r="S269" t="s">
        <v>2168</v>
      </c>
      <c r="T269" t="s">
        <v>1419</v>
      </c>
    </row>
    <row r="270" spans="1:20">
      <c r="A270" s="12" t="s">
        <v>2272</v>
      </c>
      <c r="B270" t="s">
        <v>2273</v>
      </c>
      <c r="C270" t="s">
        <v>786</v>
      </c>
      <c r="D270" t="s">
        <v>2179</v>
      </c>
      <c r="E270" t="s">
        <v>994</v>
      </c>
      <c r="F270" t="s">
        <v>1419</v>
      </c>
      <c r="G270" t="s">
        <v>1419</v>
      </c>
      <c r="H270" s="172"/>
      <c r="I270" t="s">
        <v>1677</v>
      </c>
      <c r="J270" s="172">
        <v>45654</v>
      </c>
      <c r="K270" s="172"/>
      <c r="L270" s="172"/>
      <c r="M270" s="172"/>
      <c r="N270" s="172"/>
      <c r="O270" s="12" t="s">
        <v>618</v>
      </c>
      <c r="P270" t="s">
        <v>1419</v>
      </c>
      <c r="Q270" t="s">
        <v>994</v>
      </c>
      <c r="R270" t="s">
        <v>994</v>
      </c>
      <c r="S270" t="s">
        <v>2168</v>
      </c>
      <c r="T270" t="s">
        <v>1419</v>
      </c>
    </row>
    <row r="271" spans="1:20">
      <c r="A271" s="12" t="s">
        <v>1268</v>
      </c>
      <c r="B271" t="s">
        <v>1646</v>
      </c>
      <c r="C271" t="s">
        <v>1497</v>
      </c>
      <c r="D271" t="s">
        <v>1498</v>
      </c>
      <c r="E271" t="s">
        <v>994</v>
      </c>
      <c r="F271" t="s">
        <v>1419</v>
      </c>
      <c r="G271" t="s">
        <v>1419</v>
      </c>
      <c r="H271" s="172"/>
      <c r="I271" t="s">
        <v>1435</v>
      </c>
      <c r="J271" s="172">
        <v>45541</v>
      </c>
      <c r="K271" s="172">
        <v>45541</v>
      </c>
      <c r="L271" s="172">
        <v>45541</v>
      </c>
      <c r="M271" s="172">
        <v>45541</v>
      </c>
      <c r="N271" s="172">
        <v>45549</v>
      </c>
      <c r="O271" s="12" t="s">
        <v>1647</v>
      </c>
      <c r="P271" t="s">
        <v>1419</v>
      </c>
      <c r="Q271" t="s">
        <v>1234</v>
      </c>
      <c r="R271" t="s">
        <v>1234</v>
      </c>
      <c r="S271" t="s">
        <v>2168</v>
      </c>
      <c r="T271" t="s">
        <v>1419</v>
      </c>
    </row>
    <row r="272" spans="1:20">
      <c r="A272" s="12" t="s">
        <v>2274</v>
      </c>
      <c r="B272" t="s">
        <v>2275</v>
      </c>
      <c r="C272" t="s">
        <v>786</v>
      </c>
      <c r="D272" t="s">
        <v>2179</v>
      </c>
      <c r="E272" t="s">
        <v>994</v>
      </c>
      <c r="F272" t="s">
        <v>1419</v>
      </c>
      <c r="G272" t="s">
        <v>1419</v>
      </c>
      <c r="H272" s="172"/>
      <c r="I272" t="s">
        <v>1435</v>
      </c>
      <c r="J272" s="172">
        <v>45664</v>
      </c>
      <c r="K272" s="172"/>
      <c r="L272" s="172"/>
      <c r="M272" s="172"/>
      <c r="N272" s="172"/>
      <c r="O272" s="12" t="s">
        <v>618</v>
      </c>
      <c r="P272" t="s">
        <v>1419</v>
      </c>
      <c r="Q272" t="s">
        <v>994</v>
      </c>
      <c r="R272" t="s">
        <v>994</v>
      </c>
      <c r="S272" t="s">
        <v>2168</v>
      </c>
      <c r="T272" t="s">
        <v>1419</v>
      </c>
    </row>
    <row r="273" spans="1:20">
      <c r="A273" s="12" t="s">
        <v>1029</v>
      </c>
      <c r="B273" t="s">
        <v>1978</v>
      </c>
      <c r="C273" t="s">
        <v>1650</v>
      </c>
      <c r="D273" t="s">
        <v>1979</v>
      </c>
      <c r="E273" t="s">
        <v>994</v>
      </c>
      <c r="F273" t="s">
        <v>1419</v>
      </c>
      <c r="G273" t="s">
        <v>1419</v>
      </c>
      <c r="H273" s="172"/>
      <c r="I273" t="s">
        <v>1435</v>
      </c>
      <c r="J273" s="172">
        <v>45401</v>
      </c>
      <c r="K273" s="172">
        <v>45401</v>
      </c>
      <c r="L273" s="172">
        <v>45443</v>
      </c>
      <c r="M273" s="172">
        <v>45824</v>
      </c>
      <c r="N273" s="172"/>
      <c r="O273" s="12" t="s">
        <v>1980</v>
      </c>
      <c r="P273" t="s">
        <v>1419</v>
      </c>
      <c r="Q273" t="s">
        <v>1234</v>
      </c>
      <c r="R273" t="s">
        <v>994</v>
      </c>
      <c r="S273" t="s">
        <v>2168</v>
      </c>
      <c r="T273" t="s">
        <v>2276</v>
      </c>
    </row>
    <row r="274" spans="1:20">
      <c r="A274" s="12" t="s">
        <v>2277</v>
      </c>
      <c r="B274" t="s">
        <v>2278</v>
      </c>
      <c r="C274" t="s">
        <v>1419</v>
      </c>
      <c r="D274" t="s">
        <v>1419</v>
      </c>
      <c r="E274" t="s">
        <v>1483</v>
      </c>
      <c r="F274" t="s">
        <v>1419</v>
      </c>
      <c r="G274" t="s">
        <v>1419</v>
      </c>
      <c r="H274" s="172"/>
      <c r="I274" t="s">
        <v>1571</v>
      </c>
      <c r="J274" s="172">
        <v>45519</v>
      </c>
      <c r="K274" s="172">
        <v>45590</v>
      </c>
      <c r="L274" s="172">
        <v>45575</v>
      </c>
      <c r="M274" s="172">
        <v>45596</v>
      </c>
      <c r="N274" s="172">
        <v>45580</v>
      </c>
      <c r="O274" s="12" t="s">
        <v>618</v>
      </c>
      <c r="P274" t="s">
        <v>1419</v>
      </c>
      <c r="Q274" t="s">
        <v>1234</v>
      </c>
      <c r="R274" t="s">
        <v>1234</v>
      </c>
      <c r="S274" t="s">
        <v>2168</v>
      </c>
      <c r="T274" t="s">
        <v>1419</v>
      </c>
    </row>
    <row r="275" spans="1:20">
      <c r="A275" s="12" t="s">
        <v>2279</v>
      </c>
      <c r="B275" t="s">
        <v>2280</v>
      </c>
      <c r="C275" t="s">
        <v>786</v>
      </c>
      <c r="D275" t="s">
        <v>1493</v>
      </c>
      <c r="E275" t="s">
        <v>994</v>
      </c>
      <c r="F275" t="s">
        <v>1419</v>
      </c>
      <c r="G275" t="s">
        <v>1419</v>
      </c>
      <c r="H275" s="172"/>
      <c r="I275" t="s">
        <v>1435</v>
      </c>
      <c r="J275" s="172">
        <v>45664</v>
      </c>
      <c r="K275" s="172">
        <v>45664</v>
      </c>
      <c r="L275" s="172">
        <v>45664</v>
      </c>
      <c r="M275" s="172">
        <v>45650</v>
      </c>
      <c r="N275" s="172"/>
      <c r="O275" s="12" t="s">
        <v>618</v>
      </c>
      <c r="P275" t="s">
        <v>1419</v>
      </c>
      <c r="Q275" t="s">
        <v>1234</v>
      </c>
      <c r="R275" t="s">
        <v>994</v>
      </c>
      <c r="S275" t="s">
        <v>2168</v>
      </c>
      <c r="T275" t="s">
        <v>1419</v>
      </c>
    </row>
    <row r="276" spans="1:20">
      <c r="A276" s="12" t="s">
        <v>995</v>
      </c>
      <c r="B276" t="s">
        <v>2281</v>
      </c>
      <c r="C276" t="s">
        <v>786</v>
      </c>
      <c r="D276" t="s">
        <v>2179</v>
      </c>
      <c r="E276" t="s">
        <v>994</v>
      </c>
      <c r="F276" t="s">
        <v>1419</v>
      </c>
      <c r="G276" t="s">
        <v>1419</v>
      </c>
      <c r="H276" s="172"/>
      <c r="I276" t="s">
        <v>1677</v>
      </c>
      <c r="J276" s="172">
        <v>45642</v>
      </c>
      <c r="K276" s="172">
        <v>45642</v>
      </c>
      <c r="L276" s="172">
        <v>45667</v>
      </c>
      <c r="M276" s="172"/>
      <c r="N276" s="172"/>
      <c r="O276" s="12" t="s">
        <v>618</v>
      </c>
      <c r="P276" t="s">
        <v>1419</v>
      </c>
      <c r="Q276" t="s">
        <v>1453</v>
      </c>
      <c r="R276" t="s">
        <v>994</v>
      </c>
      <c r="S276" t="s">
        <v>2168</v>
      </c>
      <c r="T276" t="s">
        <v>1419</v>
      </c>
    </row>
    <row r="277" spans="1:20">
      <c r="A277" s="12" t="s">
        <v>2282</v>
      </c>
      <c r="B277" t="s">
        <v>2283</v>
      </c>
      <c r="C277" t="s">
        <v>458</v>
      </c>
      <c r="D277" t="s">
        <v>1637</v>
      </c>
      <c r="E277" t="s">
        <v>1483</v>
      </c>
      <c r="F277" t="s">
        <v>1419</v>
      </c>
      <c r="G277" t="s">
        <v>1419</v>
      </c>
      <c r="H277" s="172"/>
      <c r="I277" t="s">
        <v>1435</v>
      </c>
      <c r="J277" s="172"/>
      <c r="K277" s="172"/>
      <c r="L277" s="172"/>
      <c r="M277" s="172"/>
      <c r="N277" s="172"/>
      <c r="O277" s="12" t="s">
        <v>2284</v>
      </c>
      <c r="P277" t="s">
        <v>1419</v>
      </c>
      <c r="Q277" t="s">
        <v>994</v>
      </c>
      <c r="R277" t="s">
        <v>994</v>
      </c>
      <c r="S277" t="s">
        <v>2168</v>
      </c>
      <c r="T277" t="s">
        <v>1419</v>
      </c>
    </row>
    <row r="278" spans="1:20">
      <c r="A278" s="12" t="s">
        <v>2285</v>
      </c>
      <c r="B278" t="s">
        <v>2286</v>
      </c>
      <c r="C278" t="s">
        <v>1592</v>
      </c>
      <c r="D278" t="s">
        <v>2287</v>
      </c>
      <c r="E278" t="s">
        <v>1414</v>
      </c>
      <c r="F278" t="s">
        <v>1419</v>
      </c>
      <c r="G278" t="s">
        <v>1419</v>
      </c>
      <c r="H278" s="172"/>
      <c r="I278" t="s">
        <v>1435</v>
      </c>
      <c r="J278" s="172">
        <v>45573</v>
      </c>
      <c r="K278" s="172">
        <v>45586</v>
      </c>
      <c r="L278" s="172">
        <v>45586</v>
      </c>
      <c r="M278" s="172">
        <v>45597</v>
      </c>
      <c r="N278" s="172"/>
      <c r="O278" s="12" t="s">
        <v>618</v>
      </c>
      <c r="P278" t="s">
        <v>1419</v>
      </c>
      <c r="Q278" t="s">
        <v>1234</v>
      </c>
      <c r="R278" t="s">
        <v>994</v>
      </c>
      <c r="S278" t="s">
        <v>2168</v>
      </c>
      <c r="T278" t="s">
        <v>1419</v>
      </c>
    </row>
    <row r="279" spans="1:20">
      <c r="A279" s="12" t="s">
        <v>2288</v>
      </c>
      <c r="B279" t="s">
        <v>2289</v>
      </c>
      <c r="C279" t="s">
        <v>642</v>
      </c>
      <c r="D279" t="s">
        <v>1429</v>
      </c>
      <c r="E279" t="s">
        <v>1483</v>
      </c>
      <c r="F279" t="s">
        <v>1419</v>
      </c>
      <c r="G279" t="s">
        <v>1419</v>
      </c>
      <c r="H279" s="172"/>
      <c r="I279" t="s">
        <v>1435</v>
      </c>
      <c r="J279" s="172">
        <v>45555</v>
      </c>
      <c r="K279" s="172"/>
      <c r="L279" s="172"/>
      <c r="M279" s="172"/>
      <c r="N279" s="172"/>
      <c r="O279" s="12" t="s">
        <v>618</v>
      </c>
      <c r="P279" t="s">
        <v>1419</v>
      </c>
      <c r="Q279" t="s">
        <v>994</v>
      </c>
      <c r="R279" t="s">
        <v>994</v>
      </c>
      <c r="S279" t="s">
        <v>2168</v>
      </c>
      <c r="T279" t="s">
        <v>1419</v>
      </c>
    </row>
    <row r="280" spans="1:20">
      <c r="A280" s="12" t="s">
        <v>2290</v>
      </c>
      <c r="B280" t="s">
        <v>2291</v>
      </c>
      <c r="C280" t="s">
        <v>642</v>
      </c>
      <c r="D280" t="s">
        <v>1429</v>
      </c>
      <c r="E280" t="s">
        <v>994</v>
      </c>
      <c r="F280" t="s">
        <v>1419</v>
      </c>
      <c r="G280" t="s">
        <v>1419</v>
      </c>
      <c r="H280" s="172"/>
      <c r="I280" t="s">
        <v>1435</v>
      </c>
      <c r="J280" s="172">
        <v>45642</v>
      </c>
      <c r="K280" s="172"/>
      <c r="L280" s="172"/>
      <c r="M280" s="172"/>
      <c r="N280" s="172"/>
      <c r="O280" s="12" t="s">
        <v>618</v>
      </c>
      <c r="P280" t="s">
        <v>1419</v>
      </c>
      <c r="Q280" t="s">
        <v>994</v>
      </c>
      <c r="R280" t="s">
        <v>994</v>
      </c>
      <c r="S280" t="s">
        <v>2168</v>
      </c>
      <c r="T280" t="s">
        <v>1419</v>
      </c>
    </row>
    <row r="281" spans="1:20">
      <c r="A281" s="12" t="s">
        <v>2292</v>
      </c>
      <c r="B281" t="s">
        <v>2293</v>
      </c>
      <c r="C281" t="s">
        <v>1592</v>
      </c>
      <c r="D281" t="s">
        <v>1593</v>
      </c>
      <c r="E281" t="s">
        <v>994</v>
      </c>
      <c r="F281" t="s">
        <v>1419</v>
      </c>
      <c r="G281" t="s">
        <v>1419</v>
      </c>
      <c r="H281" s="172"/>
      <c r="I281" t="s">
        <v>1435</v>
      </c>
      <c r="J281" s="172">
        <v>45567</v>
      </c>
      <c r="K281" s="172">
        <v>45576</v>
      </c>
      <c r="L281" s="172"/>
      <c r="M281" s="172">
        <v>45583</v>
      </c>
      <c r="N281" s="172"/>
      <c r="O281" s="12" t="s">
        <v>618</v>
      </c>
      <c r="P281" t="s">
        <v>1419</v>
      </c>
      <c r="Q281" t="s">
        <v>994</v>
      </c>
      <c r="R281" t="s">
        <v>994</v>
      </c>
      <c r="S281" t="s">
        <v>2168</v>
      </c>
      <c r="T281" t="s">
        <v>1419</v>
      </c>
    </row>
    <row r="282" spans="1:20">
      <c r="A282" s="12" t="s">
        <v>2294</v>
      </c>
      <c r="B282" t="s">
        <v>2295</v>
      </c>
      <c r="C282" t="s">
        <v>1592</v>
      </c>
      <c r="D282" t="s">
        <v>2287</v>
      </c>
      <c r="E282" t="s">
        <v>994</v>
      </c>
      <c r="F282" t="s">
        <v>1419</v>
      </c>
      <c r="G282" t="s">
        <v>1419</v>
      </c>
      <c r="H282" s="172"/>
      <c r="I282" t="s">
        <v>1417</v>
      </c>
      <c r="J282" s="172">
        <v>44984</v>
      </c>
      <c r="K282" s="172">
        <v>45282</v>
      </c>
      <c r="L282" s="172">
        <v>45309</v>
      </c>
      <c r="M282" s="172">
        <v>45383</v>
      </c>
      <c r="N282" s="172">
        <v>45548</v>
      </c>
      <c r="O282" s="12" t="s">
        <v>618</v>
      </c>
      <c r="P282" t="s">
        <v>1419</v>
      </c>
      <c r="Q282" t="s">
        <v>1234</v>
      </c>
      <c r="R282" t="s">
        <v>1234</v>
      </c>
      <c r="S282" t="s">
        <v>2168</v>
      </c>
      <c r="T282" t="s">
        <v>1419</v>
      </c>
    </row>
    <row r="283" spans="1:20">
      <c r="A283" s="12" t="s">
        <v>2296</v>
      </c>
      <c r="B283" t="s">
        <v>2297</v>
      </c>
      <c r="C283" t="s">
        <v>642</v>
      </c>
      <c r="D283" t="s">
        <v>1429</v>
      </c>
      <c r="E283" t="s">
        <v>1483</v>
      </c>
      <c r="F283" t="s">
        <v>1419</v>
      </c>
      <c r="G283" t="s">
        <v>1419</v>
      </c>
      <c r="H283" s="172"/>
      <c r="I283" t="s">
        <v>1571</v>
      </c>
      <c r="J283" s="172">
        <v>45588</v>
      </c>
      <c r="K283" s="172">
        <v>45608</v>
      </c>
      <c r="L283" s="172">
        <v>45608</v>
      </c>
      <c r="M283" s="172">
        <v>45608</v>
      </c>
      <c r="N283" s="172"/>
      <c r="O283" s="12" t="s">
        <v>618</v>
      </c>
      <c r="P283" t="s">
        <v>1419</v>
      </c>
      <c r="Q283" t="s">
        <v>1234</v>
      </c>
      <c r="R283" t="s">
        <v>994</v>
      </c>
      <c r="S283" t="s">
        <v>2168</v>
      </c>
      <c r="T283" t="s">
        <v>1419</v>
      </c>
    </row>
    <row r="284" spans="1:20">
      <c r="A284" s="12" t="s">
        <v>2298</v>
      </c>
      <c r="B284" t="s">
        <v>2299</v>
      </c>
      <c r="C284" t="s">
        <v>1662</v>
      </c>
      <c r="D284" t="s">
        <v>1663</v>
      </c>
      <c r="E284" t="s">
        <v>1414</v>
      </c>
      <c r="F284" t="s">
        <v>1419</v>
      </c>
      <c r="G284" t="s">
        <v>1419</v>
      </c>
      <c r="H284" s="172"/>
      <c r="I284" t="s">
        <v>1435</v>
      </c>
      <c r="J284" s="172">
        <v>45558</v>
      </c>
      <c r="K284" s="172">
        <v>45566</v>
      </c>
      <c r="L284" s="172">
        <v>45581</v>
      </c>
      <c r="M284" s="172">
        <v>45582</v>
      </c>
      <c r="N284" s="172">
        <v>45582</v>
      </c>
      <c r="O284" s="12" t="s">
        <v>618</v>
      </c>
      <c r="P284" t="s">
        <v>1419</v>
      </c>
      <c r="Q284" t="s">
        <v>1234</v>
      </c>
      <c r="R284" t="s">
        <v>1234</v>
      </c>
      <c r="S284" t="s">
        <v>2168</v>
      </c>
      <c r="T284" t="s">
        <v>1419</v>
      </c>
    </row>
    <row r="285" spans="1:20">
      <c r="A285" s="12" t="s">
        <v>2300</v>
      </c>
      <c r="B285" t="s">
        <v>2301</v>
      </c>
      <c r="C285" t="s">
        <v>642</v>
      </c>
      <c r="D285" t="s">
        <v>1984</v>
      </c>
      <c r="E285" t="s">
        <v>994</v>
      </c>
      <c r="F285" t="s">
        <v>1419</v>
      </c>
      <c r="G285" t="s">
        <v>1419</v>
      </c>
      <c r="H285" s="172"/>
      <c r="I285" t="s">
        <v>1677</v>
      </c>
      <c r="J285" s="172">
        <v>45672</v>
      </c>
      <c r="K285" s="172">
        <v>45672</v>
      </c>
      <c r="L285" s="172"/>
      <c r="M285" s="172"/>
      <c r="N285" s="172"/>
      <c r="O285" s="12" t="s">
        <v>618</v>
      </c>
      <c r="P285" t="s">
        <v>1419</v>
      </c>
      <c r="Q285" t="s">
        <v>994</v>
      </c>
      <c r="R285" t="s">
        <v>994</v>
      </c>
      <c r="S285" t="s">
        <v>2168</v>
      </c>
      <c r="T285" t="s">
        <v>1419</v>
      </c>
    </row>
    <row r="286" spans="1:20">
      <c r="A286" s="12" t="s">
        <v>1290</v>
      </c>
      <c r="B286" t="s">
        <v>2156</v>
      </c>
      <c r="C286" t="s">
        <v>2157</v>
      </c>
      <c r="D286" t="s">
        <v>2158</v>
      </c>
      <c r="E286" t="s">
        <v>994</v>
      </c>
      <c r="F286" t="s">
        <v>1419</v>
      </c>
      <c r="G286" t="s">
        <v>1419</v>
      </c>
      <c r="H286" s="172"/>
      <c r="I286" t="s">
        <v>1435</v>
      </c>
      <c r="J286" s="172">
        <v>45530</v>
      </c>
      <c r="K286" s="172">
        <v>45543</v>
      </c>
      <c r="L286" s="172">
        <v>45530</v>
      </c>
      <c r="M286" s="172">
        <v>45554</v>
      </c>
      <c r="N286" s="172">
        <v>45554</v>
      </c>
      <c r="O286" s="12" t="s">
        <v>2159</v>
      </c>
      <c r="P286" t="s">
        <v>1419</v>
      </c>
      <c r="Q286" t="s">
        <v>1234</v>
      </c>
      <c r="R286" t="s">
        <v>1234</v>
      </c>
      <c r="S286" t="s">
        <v>2168</v>
      </c>
      <c r="T286" t="s">
        <v>1419</v>
      </c>
    </row>
    <row r="287" spans="1:20">
      <c r="A287" s="12" t="s">
        <v>2302</v>
      </c>
      <c r="B287" t="s">
        <v>2303</v>
      </c>
      <c r="C287" t="s">
        <v>786</v>
      </c>
      <c r="D287" t="s">
        <v>2179</v>
      </c>
      <c r="E287" t="s">
        <v>994</v>
      </c>
      <c r="F287" t="s">
        <v>1419</v>
      </c>
      <c r="G287" t="s">
        <v>1419</v>
      </c>
      <c r="H287" s="172"/>
      <c r="I287" t="s">
        <v>1435</v>
      </c>
      <c r="J287" s="172">
        <v>45638</v>
      </c>
      <c r="K287" s="172">
        <v>45642</v>
      </c>
      <c r="L287" s="172">
        <v>45643</v>
      </c>
      <c r="M287" s="172">
        <v>45716</v>
      </c>
      <c r="N287" s="172"/>
      <c r="O287" s="12" t="s">
        <v>618</v>
      </c>
      <c r="P287" t="s">
        <v>1419</v>
      </c>
      <c r="Q287" t="s">
        <v>1234</v>
      </c>
      <c r="R287" t="s">
        <v>994</v>
      </c>
      <c r="S287" t="s">
        <v>2168</v>
      </c>
      <c r="T287" t="s">
        <v>1419</v>
      </c>
    </row>
    <row r="288" spans="1:20">
      <c r="A288" s="12" t="s">
        <v>2304</v>
      </c>
      <c r="B288" t="s">
        <v>2305</v>
      </c>
      <c r="C288" t="s">
        <v>642</v>
      </c>
      <c r="D288" t="s">
        <v>1429</v>
      </c>
      <c r="E288" t="s">
        <v>994</v>
      </c>
      <c r="F288" t="s">
        <v>1419</v>
      </c>
      <c r="G288" t="s">
        <v>1419</v>
      </c>
      <c r="H288" s="172"/>
      <c r="I288" t="s">
        <v>1571</v>
      </c>
      <c r="J288" s="172">
        <v>45593</v>
      </c>
      <c r="K288" s="172"/>
      <c r="L288" s="172"/>
      <c r="M288" s="172"/>
      <c r="N288" s="172"/>
      <c r="O288" s="12" t="s">
        <v>618</v>
      </c>
      <c r="P288" t="s">
        <v>1419</v>
      </c>
      <c r="Q288" t="s">
        <v>994</v>
      </c>
      <c r="R288" t="s">
        <v>994</v>
      </c>
      <c r="S288" t="s">
        <v>2168</v>
      </c>
      <c r="T288" t="s">
        <v>1419</v>
      </c>
    </row>
    <row r="289" spans="1:20">
      <c r="A289" s="12" t="s">
        <v>2306</v>
      </c>
      <c r="B289" t="s">
        <v>2307</v>
      </c>
      <c r="C289" t="s">
        <v>1592</v>
      </c>
      <c r="D289" t="s">
        <v>2287</v>
      </c>
      <c r="E289" t="s">
        <v>994</v>
      </c>
      <c r="F289" t="s">
        <v>1419</v>
      </c>
      <c r="G289" t="s">
        <v>1419</v>
      </c>
      <c r="H289" s="172"/>
      <c r="I289" t="s">
        <v>1417</v>
      </c>
      <c r="J289" s="172">
        <v>45048</v>
      </c>
      <c r="K289" s="172">
        <v>45071</v>
      </c>
      <c r="L289" s="172">
        <v>45071</v>
      </c>
      <c r="M289" s="172">
        <v>45568</v>
      </c>
      <c r="N289" s="172"/>
      <c r="O289" s="12" t="s">
        <v>2308</v>
      </c>
      <c r="P289" t="s">
        <v>1419</v>
      </c>
      <c r="Q289" t="s">
        <v>1234</v>
      </c>
      <c r="R289" t="s">
        <v>994</v>
      </c>
      <c r="S289" t="s">
        <v>2168</v>
      </c>
      <c r="T289" t="s">
        <v>1419</v>
      </c>
    </row>
    <row r="290" spans="1:20">
      <c r="A290" s="12" t="s">
        <v>2309</v>
      </c>
      <c r="B290" t="s">
        <v>2310</v>
      </c>
      <c r="C290" t="s">
        <v>642</v>
      </c>
      <c r="D290" t="s">
        <v>1429</v>
      </c>
      <c r="E290" t="s">
        <v>994</v>
      </c>
      <c r="F290" t="s">
        <v>1419</v>
      </c>
      <c r="G290" t="s">
        <v>1419</v>
      </c>
      <c r="H290" s="172"/>
      <c r="I290" t="s">
        <v>1571</v>
      </c>
      <c r="J290" s="172">
        <v>45589</v>
      </c>
      <c r="K290" s="172">
        <v>45595</v>
      </c>
      <c r="L290" s="172">
        <v>45618</v>
      </c>
      <c r="M290" s="172">
        <v>45642</v>
      </c>
      <c r="N290" s="172"/>
      <c r="O290" s="12" t="s">
        <v>618</v>
      </c>
      <c r="P290" t="s">
        <v>1419</v>
      </c>
      <c r="Q290" t="s">
        <v>1234</v>
      </c>
      <c r="R290" t="s">
        <v>1453</v>
      </c>
      <c r="S290" t="s">
        <v>2168</v>
      </c>
      <c r="T290" t="s">
        <v>1419</v>
      </c>
    </row>
    <row r="291" spans="1:20">
      <c r="A291" s="12" t="s">
        <v>2311</v>
      </c>
      <c r="B291" t="s">
        <v>2312</v>
      </c>
      <c r="C291" t="s">
        <v>1662</v>
      </c>
      <c r="D291" t="s">
        <v>1663</v>
      </c>
      <c r="E291" t="s">
        <v>994</v>
      </c>
      <c r="F291" t="s">
        <v>1419</v>
      </c>
      <c r="G291" t="s">
        <v>1419</v>
      </c>
      <c r="H291" s="172"/>
      <c r="I291" t="s">
        <v>1435</v>
      </c>
      <c r="J291" s="172">
        <v>45569</v>
      </c>
      <c r="K291" s="172">
        <v>45572</v>
      </c>
      <c r="L291" s="172">
        <v>45642</v>
      </c>
      <c r="M291" s="172">
        <v>45642</v>
      </c>
      <c r="N291" s="172">
        <v>45709</v>
      </c>
      <c r="O291" s="12" t="s">
        <v>618</v>
      </c>
      <c r="P291" t="s">
        <v>1419</v>
      </c>
      <c r="Q291" t="s">
        <v>1234</v>
      </c>
      <c r="R291" t="s">
        <v>994</v>
      </c>
      <c r="S291" t="s">
        <v>2168</v>
      </c>
      <c r="T291" t="s">
        <v>1419</v>
      </c>
    </row>
    <row r="292" spans="1:20">
      <c r="A292" s="12" t="s">
        <v>2313</v>
      </c>
      <c r="B292" t="s">
        <v>2314</v>
      </c>
      <c r="C292" t="s">
        <v>2315</v>
      </c>
      <c r="D292" t="s">
        <v>2287</v>
      </c>
      <c r="E292" t="s">
        <v>994</v>
      </c>
      <c r="F292" t="s">
        <v>1419</v>
      </c>
      <c r="G292" t="s">
        <v>1419</v>
      </c>
      <c r="H292" s="172"/>
      <c r="I292" t="s">
        <v>1435</v>
      </c>
      <c r="J292" s="172">
        <v>45407</v>
      </c>
      <c r="K292" s="172">
        <v>45407</v>
      </c>
      <c r="L292" s="172">
        <v>45407</v>
      </c>
      <c r="M292" s="172"/>
      <c r="N292" s="172"/>
      <c r="O292" s="12" t="s">
        <v>618</v>
      </c>
      <c r="P292" t="s">
        <v>1419</v>
      </c>
      <c r="Q292" t="s">
        <v>1234</v>
      </c>
      <c r="R292" t="s">
        <v>994</v>
      </c>
      <c r="S292" t="s">
        <v>2168</v>
      </c>
      <c r="T292" t="s">
        <v>1419</v>
      </c>
    </row>
    <row r="293" spans="1:20">
      <c r="A293" s="12" t="s">
        <v>1485</v>
      </c>
      <c r="B293" t="s">
        <v>1486</v>
      </c>
      <c r="C293" t="s">
        <v>1487</v>
      </c>
      <c r="D293" t="s">
        <v>1488</v>
      </c>
      <c r="E293" t="s">
        <v>994</v>
      </c>
      <c r="F293" t="s">
        <v>1419</v>
      </c>
      <c r="G293" t="s">
        <v>1419</v>
      </c>
      <c r="H293" s="172"/>
      <c r="I293" t="s">
        <v>1435</v>
      </c>
      <c r="J293" s="172">
        <v>45316</v>
      </c>
      <c r="K293" s="172">
        <v>45316</v>
      </c>
      <c r="L293" s="172">
        <v>45316</v>
      </c>
      <c r="M293" s="172">
        <v>45316</v>
      </c>
      <c r="N293" s="172">
        <v>45478</v>
      </c>
      <c r="O293" s="12" t="s">
        <v>1490</v>
      </c>
      <c r="P293" t="s">
        <v>1419</v>
      </c>
      <c r="Q293" t="s">
        <v>1234</v>
      </c>
      <c r="R293" t="s">
        <v>1234</v>
      </c>
      <c r="S293" t="s">
        <v>2168</v>
      </c>
      <c r="T293" t="s">
        <v>1419</v>
      </c>
    </row>
    <row r="294" spans="1:20">
      <c r="A294" s="12" t="s">
        <v>2316</v>
      </c>
      <c r="B294" t="s">
        <v>2317</v>
      </c>
      <c r="C294" t="s">
        <v>1592</v>
      </c>
      <c r="D294" t="s">
        <v>2287</v>
      </c>
      <c r="E294" t="s">
        <v>994</v>
      </c>
      <c r="F294" t="s">
        <v>1419</v>
      </c>
      <c r="G294" t="s">
        <v>1419</v>
      </c>
      <c r="H294" s="172"/>
      <c r="I294" t="s">
        <v>1435</v>
      </c>
      <c r="J294" s="172">
        <v>45233</v>
      </c>
      <c r="K294" s="172">
        <v>45233</v>
      </c>
      <c r="L294" s="172">
        <v>45233</v>
      </c>
      <c r="M294" s="172">
        <v>45485</v>
      </c>
      <c r="N294" s="172">
        <v>45548</v>
      </c>
      <c r="O294" s="12" t="s">
        <v>618</v>
      </c>
      <c r="P294" t="s">
        <v>1419</v>
      </c>
      <c r="Q294" t="s">
        <v>1234</v>
      </c>
      <c r="R294" t="s">
        <v>994</v>
      </c>
      <c r="S294" t="s">
        <v>2168</v>
      </c>
      <c r="T294" t="s">
        <v>1419</v>
      </c>
    </row>
    <row r="295" spans="1:20">
      <c r="A295" s="12" t="s">
        <v>2318</v>
      </c>
      <c r="B295" t="s">
        <v>2319</v>
      </c>
      <c r="C295" t="s">
        <v>1419</v>
      </c>
      <c r="D295" t="s">
        <v>1419</v>
      </c>
      <c r="E295" t="s">
        <v>994</v>
      </c>
      <c r="F295" t="s">
        <v>1419</v>
      </c>
      <c r="G295" t="s">
        <v>1419</v>
      </c>
      <c r="H295" s="172"/>
      <c r="I295" t="s">
        <v>1677</v>
      </c>
      <c r="J295" s="172">
        <v>45657</v>
      </c>
      <c r="K295" s="172"/>
      <c r="L295" s="172"/>
      <c r="M295" s="172"/>
      <c r="N295" s="172"/>
      <c r="O295" s="12" t="s">
        <v>618</v>
      </c>
      <c r="P295" t="s">
        <v>1419</v>
      </c>
      <c r="Q295" t="s">
        <v>994</v>
      </c>
      <c r="R295" t="s">
        <v>994</v>
      </c>
      <c r="S295" t="s">
        <v>2168</v>
      </c>
      <c r="T295" t="s">
        <v>1419</v>
      </c>
    </row>
    <row r="296" spans="1:20">
      <c r="A296" s="12" t="s">
        <v>2320</v>
      </c>
      <c r="B296" t="s">
        <v>2321</v>
      </c>
      <c r="C296" t="s">
        <v>1889</v>
      </c>
      <c r="D296" t="s">
        <v>1890</v>
      </c>
      <c r="E296" t="s">
        <v>994</v>
      </c>
      <c r="F296" t="s">
        <v>1415</v>
      </c>
      <c r="G296" t="s">
        <v>1415</v>
      </c>
      <c r="H296" s="172">
        <v>45679</v>
      </c>
      <c r="I296" t="s">
        <v>1677</v>
      </c>
      <c r="J296" s="172">
        <v>45580</v>
      </c>
      <c r="K296" s="172">
        <v>45583</v>
      </c>
      <c r="L296" s="172">
        <v>45597</v>
      </c>
      <c r="M296" s="172">
        <v>45635</v>
      </c>
      <c r="N296" s="172"/>
      <c r="O296" s="12" t="s">
        <v>2322</v>
      </c>
      <c r="P296" t="s">
        <v>1419</v>
      </c>
      <c r="Q296" t="s">
        <v>1453</v>
      </c>
      <c r="R296" t="s">
        <v>994</v>
      </c>
      <c r="S296" t="s">
        <v>2323</v>
      </c>
      <c r="T296" t="s">
        <v>2324</v>
      </c>
    </row>
    <row r="297" spans="1:20">
      <c r="A297" s="12" t="s">
        <v>2325</v>
      </c>
      <c r="B297" t="s">
        <v>2326</v>
      </c>
      <c r="C297" t="s">
        <v>642</v>
      </c>
      <c r="D297" t="s">
        <v>1429</v>
      </c>
      <c r="E297" t="s">
        <v>994</v>
      </c>
      <c r="F297" t="s">
        <v>1415</v>
      </c>
      <c r="G297" t="s">
        <v>1419</v>
      </c>
      <c r="H297" s="172">
        <v>45665</v>
      </c>
      <c r="I297" t="s">
        <v>1677</v>
      </c>
      <c r="J297" s="172">
        <v>45434</v>
      </c>
      <c r="K297" s="172"/>
      <c r="L297" s="172"/>
      <c r="M297" s="172"/>
      <c r="N297" s="172"/>
      <c r="O297" s="12" t="s">
        <v>618</v>
      </c>
      <c r="P297" t="s">
        <v>1419</v>
      </c>
      <c r="Q297" t="s">
        <v>994</v>
      </c>
      <c r="R297" t="s">
        <v>994</v>
      </c>
      <c r="S297" t="s">
        <v>2323</v>
      </c>
      <c r="T297" t="s">
        <v>1419</v>
      </c>
    </row>
    <row r="298" spans="1:20">
      <c r="A298" s="12" t="s">
        <v>2327</v>
      </c>
      <c r="B298" t="s">
        <v>2328</v>
      </c>
      <c r="C298" t="s">
        <v>642</v>
      </c>
      <c r="D298" t="s">
        <v>1429</v>
      </c>
      <c r="E298" t="s">
        <v>994</v>
      </c>
      <c r="F298" t="s">
        <v>1415</v>
      </c>
      <c r="G298" t="s">
        <v>1419</v>
      </c>
      <c r="H298" s="172">
        <v>45665</v>
      </c>
      <c r="I298" t="s">
        <v>1677</v>
      </c>
      <c r="J298" s="172">
        <v>45175</v>
      </c>
      <c r="K298" s="172"/>
      <c r="L298" s="172"/>
      <c r="M298" s="172"/>
      <c r="N298" s="172"/>
      <c r="O298" s="12" t="s">
        <v>2329</v>
      </c>
      <c r="P298" t="s">
        <v>1419</v>
      </c>
      <c r="Q298" t="s">
        <v>994</v>
      </c>
      <c r="R298" t="s">
        <v>994</v>
      </c>
      <c r="S298" t="s">
        <v>2323</v>
      </c>
      <c r="T298" t="s">
        <v>2330</v>
      </c>
    </row>
    <row r="299" spans="1:20">
      <c r="A299" s="12" t="s">
        <v>2331</v>
      </c>
      <c r="B299" t="s">
        <v>2332</v>
      </c>
      <c r="C299" t="s">
        <v>458</v>
      </c>
      <c r="D299" t="s">
        <v>1637</v>
      </c>
      <c r="E299" t="s">
        <v>1956</v>
      </c>
      <c r="F299" t="s">
        <v>1415</v>
      </c>
      <c r="G299" t="s">
        <v>1419</v>
      </c>
      <c r="H299" s="172">
        <v>45679</v>
      </c>
      <c r="I299" t="s">
        <v>1677</v>
      </c>
      <c r="J299" s="172"/>
      <c r="K299" s="172"/>
      <c r="L299" s="172"/>
      <c r="M299" s="172"/>
      <c r="N299" s="172"/>
      <c r="O299" s="12" t="s">
        <v>618</v>
      </c>
      <c r="P299" t="s">
        <v>1419</v>
      </c>
      <c r="Q299" t="s">
        <v>994</v>
      </c>
      <c r="R299" t="s">
        <v>994</v>
      </c>
      <c r="S299" t="s">
        <v>2323</v>
      </c>
      <c r="T299" t="s">
        <v>2333</v>
      </c>
    </row>
    <row r="300" spans="1:20">
      <c r="A300" s="12" t="s">
        <v>2334</v>
      </c>
      <c r="B300" t="s">
        <v>2335</v>
      </c>
      <c r="C300" t="s">
        <v>642</v>
      </c>
      <c r="D300" t="s">
        <v>1429</v>
      </c>
      <c r="E300" t="s">
        <v>1414</v>
      </c>
      <c r="F300" t="s">
        <v>1415</v>
      </c>
      <c r="G300" t="s">
        <v>1419</v>
      </c>
      <c r="H300" s="172">
        <v>45665</v>
      </c>
      <c r="I300" t="s">
        <v>1677</v>
      </c>
      <c r="J300" s="172">
        <v>45595</v>
      </c>
      <c r="K300" s="172">
        <v>45595</v>
      </c>
      <c r="L300" s="172">
        <v>45595</v>
      </c>
      <c r="M300" s="172">
        <v>45595</v>
      </c>
      <c r="N300" s="172">
        <v>45595</v>
      </c>
      <c r="O300" s="12" t="s">
        <v>618</v>
      </c>
      <c r="P300" t="s">
        <v>1419</v>
      </c>
      <c r="Q300" t="s">
        <v>994</v>
      </c>
      <c r="R300" t="s">
        <v>994</v>
      </c>
      <c r="S300" t="s">
        <v>2323</v>
      </c>
      <c r="T300" t="s">
        <v>1419</v>
      </c>
    </row>
    <row r="301" spans="1:20">
      <c r="A301" s="12" t="s">
        <v>2336</v>
      </c>
      <c r="B301" t="s">
        <v>2337</v>
      </c>
      <c r="C301" t="s">
        <v>772</v>
      </c>
      <c r="D301" t="s">
        <v>1669</v>
      </c>
      <c r="E301" t="s">
        <v>1956</v>
      </c>
      <c r="F301" t="s">
        <v>1415</v>
      </c>
      <c r="G301" t="s">
        <v>1419</v>
      </c>
      <c r="H301" s="172">
        <v>45698</v>
      </c>
      <c r="I301" t="s">
        <v>1677</v>
      </c>
      <c r="J301" s="172"/>
      <c r="K301" s="172"/>
      <c r="L301" s="172"/>
      <c r="M301" s="172"/>
      <c r="N301" s="172">
        <v>45628</v>
      </c>
      <c r="O301" s="12" t="s">
        <v>618</v>
      </c>
      <c r="P301" t="s">
        <v>1419</v>
      </c>
      <c r="Q301" t="s">
        <v>994</v>
      </c>
      <c r="R301" t="s">
        <v>994</v>
      </c>
      <c r="S301" t="s">
        <v>2323</v>
      </c>
      <c r="T301" t="s">
        <v>2338</v>
      </c>
    </row>
    <row r="302" spans="1:20">
      <c r="A302" s="12" t="s">
        <v>2339</v>
      </c>
      <c r="B302" t="s">
        <v>2340</v>
      </c>
      <c r="C302" t="s">
        <v>642</v>
      </c>
      <c r="D302" t="s">
        <v>1429</v>
      </c>
      <c r="E302" t="s">
        <v>1483</v>
      </c>
      <c r="F302" t="s">
        <v>1415</v>
      </c>
      <c r="G302" t="s">
        <v>1419</v>
      </c>
      <c r="H302" s="172">
        <v>45992</v>
      </c>
      <c r="I302" t="s">
        <v>1677</v>
      </c>
      <c r="J302" s="172">
        <v>45412</v>
      </c>
      <c r="K302" s="172">
        <v>45539</v>
      </c>
      <c r="L302" s="172"/>
      <c r="M302" s="172"/>
      <c r="N302" s="172"/>
      <c r="O302" s="12" t="s">
        <v>2341</v>
      </c>
      <c r="P302" t="s">
        <v>1419</v>
      </c>
      <c r="Q302" t="s">
        <v>1453</v>
      </c>
      <c r="R302" t="s">
        <v>994</v>
      </c>
      <c r="S302" t="s">
        <v>2323</v>
      </c>
      <c r="T302" t="s">
        <v>1419</v>
      </c>
    </row>
    <row r="303" spans="1:20">
      <c r="A303" s="12" t="s">
        <v>2342</v>
      </c>
      <c r="B303" t="s">
        <v>2343</v>
      </c>
      <c r="C303" t="s">
        <v>1423</v>
      </c>
      <c r="D303" t="s">
        <v>1424</v>
      </c>
      <c r="E303" t="s">
        <v>994</v>
      </c>
      <c r="F303" t="s">
        <v>1415</v>
      </c>
      <c r="G303" t="s">
        <v>1419</v>
      </c>
      <c r="H303" s="172">
        <v>45992</v>
      </c>
      <c r="I303" t="s">
        <v>1677</v>
      </c>
      <c r="J303" s="172"/>
      <c r="K303" s="172"/>
      <c r="L303" s="172"/>
      <c r="M303" s="172"/>
      <c r="N303" s="172"/>
      <c r="O303" s="12" t="s">
        <v>618</v>
      </c>
      <c r="P303" t="s">
        <v>1419</v>
      </c>
      <c r="Q303" t="s">
        <v>994</v>
      </c>
      <c r="R303" t="s">
        <v>994</v>
      </c>
      <c r="S303" t="s">
        <v>2323</v>
      </c>
      <c r="T303" t="s">
        <v>2344</v>
      </c>
    </row>
    <row r="304" spans="1:20">
      <c r="A304" s="12" t="s">
        <v>2345</v>
      </c>
      <c r="B304" t="s">
        <v>2346</v>
      </c>
      <c r="C304" t="s">
        <v>1704</v>
      </c>
      <c r="D304" t="s">
        <v>1705</v>
      </c>
      <c r="E304" t="s">
        <v>994</v>
      </c>
      <c r="F304" t="s">
        <v>1415</v>
      </c>
      <c r="G304" t="s">
        <v>1415</v>
      </c>
      <c r="H304" s="172">
        <v>45672</v>
      </c>
      <c r="I304" t="s">
        <v>1677</v>
      </c>
      <c r="J304" s="172"/>
      <c r="K304" s="172"/>
      <c r="L304" s="172"/>
      <c r="M304" s="172"/>
      <c r="N304" s="172"/>
      <c r="O304" s="12" t="s">
        <v>2347</v>
      </c>
      <c r="P304" t="s">
        <v>1419</v>
      </c>
      <c r="Q304" t="s">
        <v>994</v>
      </c>
      <c r="R304" t="s">
        <v>994</v>
      </c>
      <c r="S304" t="s">
        <v>2323</v>
      </c>
      <c r="T304" t="s">
        <v>2348</v>
      </c>
    </row>
    <row r="305" spans="1:20">
      <c r="A305" s="12" t="s">
        <v>2349</v>
      </c>
      <c r="B305" t="s">
        <v>2350</v>
      </c>
      <c r="C305" t="s">
        <v>642</v>
      </c>
      <c r="D305" t="s">
        <v>1984</v>
      </c>
      <c r="E305" t="s">
        <v>1483</v>
      </c>
      <c r="F305" t="s">
        <v>2351</v>
      </c>
      <c r="G305" t="s">
        <v>1419</v>
      </c>
      <c r="H305" s="172">
        <v>45665</v>
      </c>
      <c r="I305" t="s">
        <v>1571</v>
      </c>
      <c r="J305" s="172">
        <v>45271</v>
      </c>
      <c r="K305" s="172">
        <v>45366</v>
      </c>
      <c r="L305" s="172"/>
      <c r="M305" s="172"/>
      <c r="N305" s="172"/>
      <c r="O305" s="12" t="s">
        <v>2352</v>
      </c>
      <c r="P305" t="s">
        <v>1419</v>
      </c>
      <c r="Q305" t="s">
        <v>1453</v>
      </c>
      <c r="R305" t="s">
        <v>994</v>
      </c>
      <c r="S305" t="s">
        <v>2323</v>
      </c>
      <c r="T305" t="s">
        <v>2353</v>
      </c>
    </row>
    <row r="306" spans="1:20">
      <c r="A306" s="12" t="s">
        <v>1119</v>
      </c>
      <c r="B306" t="s">
        <v>2354</v>
      </c>
      <c r="C306" t="s">
        <v>1423</v>
      </c>
      <c r="D306" t="s">
        <v>1424</v>
      </c>
      <c r="E306" t="s">
        <v>994</v>
      </c>
      <c r="F306" t="s">
        <v>2351</v>
      </c>
      <c r="G306" t="s">
        <v>1419</v>
      </c>
      <c r="H306" s="172">
        <v>45691</v>
      </c>
      <c r="I306" t="s">
        <v>1571</v>
      </c>
      <c r="J306" s="172"/>
      <c r="K306" s="172"/>
      <c r="L306" s="172"/>
      <c r="M306" s="172"/>
      <c r="N306" s="172"/>
      <c r="O306" s="12" t="s">
        <v>618</v>
      </c>
      <c r="P306" t="s">
        <v>1419</v>
      </c>
      <c r="Q306" t="s">
        <v>994</v>
      </c>
      <c r="R306" t="s">
        <v>994</v>
      </c>
      <c r="S306" t="s">
        <v>2323</v>
      </c>
      <c r="T306" t="s">
        <v>1419</v>
      </c>
    </row>
    <row r="307" spans="1:20">
      <c r="A307" s="12" t="s">
        <v>2355</v>
      </c>
      <c r="B307" t="s">
        <v>2356</v>
      </c>
      <c r="C307" t="s">
        <v>772</v>
      </c>
      <c r="D307" t="s">
        <v>2357</v>
      </c>
      <c r="E307" t="s">
        <v>1414</v>
      </c>
      <c r="F307" t="s">
        <v>2358</v>
      </c>
      <c r="G307" t="s">
        <v>1419</v>
      </c>
      <c r="H307" s="172">
        <v>45748</v>
      </c>
      <c r="I307" t="s">
        <v>1571</v>
      </c>
      <c r="J307" s="172">
        <v>45232</v>
      </c>
      <c r="K307" s="172">
        <v>45268</v>
      </c>
      <c r="L307" s="172">
        <v>45232</v>
      </c>
      <c r="M307" s="172">
        <v>45232</v>
      </c>
      <c r="N307" s="172"/>
      <c r="O307" s="12" t="s">
        <v>618</v>
      </c>
      <c r="P307" t="s">
        <v>1419</v>
      </c>
      <c r="Q307" t="s">
        <v>1234</v>
      </c>
      <c r="R307" t="s">
        <v>994</v>
      </c>
      <c r="S307" t="s">
        <v>2323</v>
      </c>
      <c r="T307" t="s">
        <v>1419</v>
      </c>
    </row>
    <row r="308" spans="1:20">
      <c r="A308" s="12" t="s">
        <v>2359</v>
      </c>
      <c r="B308" t="s">
        <v>2360</v>
      </c>
      <c r="C308" t="s">
        <v>1650</v>
      </c>
      <c r="D308" t="s">
        <v>1651</v>
      </c>
      <c r="E308" t="s">
        <v>994</v>
      </c>
      <c r="F308" t="s">
        <v>2361</v>
      </c>
      <c r="G308" t="s">
        <v>1419</v>
      </c>
      <c r="H308" s="172">
        <v>45667</v>
      </c>
      <c r="I308" t="s">
        <v>1571</v>
      </c>
      <c r="J308" s="172">
        <v>45352</v>
      </c>
      <c r="K308" s="172">
        <v>45569</v>
      </c>
      <c r="L308" s="172">
        <v>45575</v>
      </c>
      <c r="M308" s="172">
        <v>45744</v>
      </c>
      <c r="N308" s="172">
        <v>45835</v>
      </c>
      <c r="O308" s="12" t="s">
        <v>618</v>
      </c>
      <c r="P308" t="s">
        <v>1419</v>
      </c>
      <c r="Q308" t="s">
        <v>1234</v>
      </c>
      <c r="R308" t="s">
        <v>994</v>
      </c>
      <c r="S308" t="s">
        <v>2323</v>
      </c>
      <c r="T308" t="s">
        <v>2362</v>
      </c>
    </row>
    <row r="309" spans="1:20">
      <c r="A309" s="12" t="s">
        <v>2363</v>
      </c>
      <c r="B309" t="s">
        <v>2364</v>
      </c>
      <c r="C309" t="s">
        <v>772</v>
      </c>
      <c r="D309" t="s">
        <v>1669</v>
      </c>
      <c r="E309" t="s">
        <v>994</v>
      </c>
      <c r="F309" t="s">
        <v>2365</v>
      </c>
      <c r="G309" t="s">
        <v>1419</v>
      </c>
      <c r="H309" s="172">
        <v>45705</v>
      </c>
      <c r="I309" t="s">
        <v>1571</v>
      </c>
      <c r="J309" s="172"/>
      <c r="K309" s="172"/>
      <c r="L309" s="172"/>
      <c r="M309" s="172"/>
      <c r="N309" s="172"/>
      <c r="O309" s="12" t="s">
        <v>618</v>
      </c>
      <c r="P309" t="s">
        <v>1419</v>
      </c>
      <c r="Q309" t="s">
        <v>994</v>
      </c>
      <c r="R309" t="s">
        <v>994</v>
      </c>
      <c r="S309" t="s">
        <v>2323</v>
      </c>
      <c r="T309" t="s">
        <v>1419</v>
      </c>
    </row>
    <row r="310" spans="1:20">
      <c r="A310" s="12" t="s">
        <v>2366</v>
      </c>
      <c r="B310" t="s">
        <v>2367</v>
      </c>
      <c r="C310" t="s">
        <v>642</v>
      </c>
      <c r="D310" t="s">
        <v>1429</v>
      </c>
      <c r="E310" t="s">
        <v>994</v>
      </c>
      <c r="F310" t="s">
        <v>2365</v>
      </c>
      <c r="G310" t="s">
        <v>1419</v>
      </c>
      <c r="H310" s="172">
        <v>45665</v>
      </c>
      <c r="I310" t="s">
        <v>1571</v>
      </c>
      <c r="J310" s="172">
        <v>45628</v>
      </c>
      <c r="K310" s="172"/>
      <c r="L310" s="172"/>
      <c r="M310" s="172">
        <v>45635</v>
      </c>
      <c r="N310" s="172"/>
      <c r="O310" s="12" t="s">
        <v>618</v>
      </c>
      <c r="P310" t="s">
        <v>1419</v>
      </c>
      <c r="Q310" t="s">
        <v>994</v>
      </c>
      <c r="R310" t="s">
        <v>994</v>
      </c>
      <c r="S310" t="s">
        <v>2323</v>
      </c>
      <c r="T310" t="s">
        <v>1419</v>
      </c>
    </row>
    <row r="311" spans="1:20">
      <c r="A311" s="12" t="s">
        <v>2368</v>
      </c>
      <c r="B311" t="s">
        <v>2369</v>
      </c>
      <c r="C311" t="s">
        <v>1704</v>
      </c>
      <c r="D311" t="s">
        <v>1705</v>
      </c>
      <c r="E311" t="s">
        <v>994</v>
      </c>
      <c r="F311" t="s">
        <v>2370</v>
      </c>
      <c r="G311" t="s">
        <v>1419</v>
      </c>
      <c r="H311" s="172">
        <v>45692</v>
      </c>
      <c r="I311" t="s">
        <v>1571</v>
      </c>
      <c r="J311" s="172"/>
      <c r="K311" s="172"/>
      <c r="L311" s="172"/>
      <c r="M311" s="172"/>
      <c r="N311" s="172"/>
      <c r="O311" s="12" t="s">
        <v>2371</v>
      </c>
      <c r="P311" t="s">
        <v>1419</v>
      </c>
      <c r="Q311" t="s">
        <v>994</v>
      </c>
      <c r="R311" t="s">
        <v>994</v>
      </c>
      <c r="S311" t="s">
        <v>2323</v>
      </c>
      <c r="T311" t="s">
        <v>2372</v>
      </c>
    </row>
    <row r="312" spans="1:20">
      <c r="A312" s="12" t="s">
        <v>2373</v>
      </c>
      <c r="B312" t="s">
        <v>2374</v>
      </c>
      <c r="C312" t="s">
        <v>1521</v>
      </c>
      <c r="D312" t="s">
        <v>2375</v>
      </c>
      <c r="E312" t="s">
        <v>994</v>
      </c>
      <c r="F312" t="s">
        <v>2370</v>
      </c>
      <c r="G312" t="s">
        <v>1419</v>
      </c>
      <c r="H312" s="172">
        <v>45698</v>
      </c>
      <c r="I312" t="s">
        <v>1571</v>
      </c>
      <c r="J312" s="172">
        <v>45153</v>
      </c>
      <c r="K312" s="172">
        <v>45155</v>
      </c>
      <c r="L312" s="172">
        <v>45155</v>
      </c>
      <c r="M312" s="172">
        <v>45702</v>
      </c>
      <c r="N312" s="172">
        <v>45729</v>
      </c>
      <c r="O312" s="12" t="s">
        <v>2376</v>
      </c>
      <c r="P312" t="s">
        <v>1419</v>
      </c>
      <c r="Q312" t="s">
        <v>1234</v>
      </c>
      <c r="R312" t="s">
        <v>1453</v>
      </c>
      <c r="S312" t="s">
        <v>2323</v>
      </c>
      <c r="T312" t="s">
        <v>2377</v>
      </c>
    </row>
    <row r="313" spans="1:20">
      <c r="A313" s="12" t="s">
        <v>2034</v>
      </c>
      <c r="B313" t="s">
        <v>2035</v>
      </c>
      <c r="C313" t="s">
        <v>1898</v>
      </c>
      <c r="D313" t="s">
        <v>1899</v>
      </c>
      <c r="E313" t="s">
        <v>994</v>
      </c>
      <c r="F313" t="s">
        <v>2370</v>
      </c>
      <c r="G313" t="s">
        <v>1419</v>
      </c>
      <c r="H313" s="172">
        <v>45672</v>
      </c>
      <c r="I313" t="s">
        <v>1571</v>
      </c>
      <c r="J313" s="172">
        <v>45565</v>
      </c>
      <c r="K313" s="172">
        <v>45565</v>
      </c>
      <c r="L313" s="172">
        <v>45662</v>
      </c>
      <c r="M313" s="172"/>
      <c r="N313" s="172"/>
      <c r="O313" s="12" t="s">
        <v>1658</v>
      </c>
      <c r="P313" t="s">
        <v>1419</v>
      </c>
      <c r="Q313" t="s">
        <v>1453</v>
      </c>
      <c r="R313" t="s">
        <v>994</v>
      </c>
      <c r="S313" t="s">
        <v>2323</v>
      </c>
      <c r="T313" t="s">
        <v>1419</v>
      </c>
    </row>
    <row r="314" spans="1:20">
      <c r="A314" s="12" t="s">
        <v>2378</v>
      </c>
      <c r="B314" t="s">
        <v>2379</v>
      </c>
      <c r="C314" t="s">
        <v>1704</v>
      </c>
      <c r="D314" t="s">
        <v>1705</v>
      </c>
      <c r="E314" t="s">
        <v>994</v>
      </c>
      <c r="F314" t="s">
        <v>2380</v>
      </c>
      <c r="G314" t="s">
        <v>1419</v>
      </c>
      <c r="H314" s="172">
        <v>45705</v>
      </c>
      <c r="I314" t="s">
        <v>1571</v>
      </c>
      <c r="J314" s="172"/>
      <c r="K314" s="172"/>
      <c r="L314" s="172"/>
      <c r="M314" s="172"/>
      <c r="N314" s="172"/>
      <c r="O314" s="12" t="s">
        <v>618</v>
      </c>
      <c r="P314" t="s">
        <v>1419</v>
      </c>
      <c r="Q314" t="s">
        <v>994</v>
      </c>
      <c r="R314" t="s">
        <v>994</v>
      </c>
      <c r="S314" t="s">
        <v>2323</v>
      </c>
      <c r="T314" t="s">
        <v>2381</v>
      </c>
    </row>
    <row r="315" spans="1:20">
      <c r="A315" s="12" t="s">
        <v>2382</v>
      </c>
      <c r="B315" t="s">
        <v>2383</v>
      </c>
      <c r="C315" t="s">
        <v>2384</v>
      </c>
      <c r="D315" t="s">
        <v>2385</v>
      </c>
      <c r="E315" t="s">
        <v>1956</v>
      </c>
      <c r="F315" t="s">
        <v>2380</v>
      </c>
      <c r="G315" t="s">
        <v>1419</v>
      </c>
      <c r="H315" s="172">
        <v>45698</v>
      </c>
      <c r="I315" t="s">
        <v>1571</v>
      </c>
      <c r="J315" s="172">
        <v>45582</v>
      </c>
      <c r="K315" s="172">
        <v>45582</v>
      </c>
      <c r="L315" s="172">
        <v>45603</v>
      </c>
      <c r="M315" s="172"/>
      <c r="N315" s="172"/>
      <c r="O315" s="12" t="s">
        <v>2386</v>
      </c>
      <c r="P315" t="s">
        <v>1419</v>
      </c>
      <c r="Q315" t="s">
        <v>1453</v>
      </c>
      <c r="R315" t="s">
        <v>994</v>
      </c>
      <c r="S315" t="s">
        <v>2323</v>
      </c>
      <c r="T315" t="s">
        <v>2387</v>
      </c>
    </row>
    <row r="316" spans="1:20">
      <c r="A316" s="12" t="s">
        <v>1864</v>
      </c>
      <c r="B316" t="s">
        <v>1865</v>
      </c>
      <c r="C316" t="s">
        <v>642</v>
      </c>
      <c r="D316" t="s">
        <v>1429</v>
      </c>
      <c r="E316" t="s">
        <v>994</v>
      </c>
      <c r="F316" t="s">
        <v>2380</v>
      </c>
      <c r="G316" t="s">
        <v>1419</v>
      </c>
      <c r="H316" s="172">
        <v>45435</v>
      </c>
      <c r="I316" t="s">
        <v>1571</v>
      </c>
      <c r="J316" s="172">
        <v>45343</v>
      </c>
      <c r="K316" s="172">
        <v>45460</v>
      </c>
      <c r="L316" s="172">
        <v>45667</v>
      </c>
      <c r="M316" s="172"/>
      <c r="N316" s="172"/>
      <c r="O316" s="12" t="s">
        <v>1867</v>
      </c>
      <c r="P316" t="s">
        <v>1419</v>
      </c>
      <c r="Q316" t="s">
        <v>1453</v>
      </c>
      <c r="R316" t="s">
        <v>994</v>
      </c>
      <c r="S316" t="s">
        <v>2323</v>
      </c>
      <c r="T316" t="s">
        <v>2388</v>
      </c>
    </row>
    <row r="317" spans="1:20">
      <c r="A317" s="12" t="s">
        <v>1839</v>
      </c>
      <c r="B317" t="s">
        <v>1840</v>
      </c>
      <c r="C317" t="s">
        <v>1487</v>
      </c>
      <c r="D317" t="s">
        <v>1488</v>
      </c>
      <c r="E317" t="s">
        <v>994</v>
      </c>
      <c r="F317" t="s">
        <v>2180</v>
      </c>
      <c r="G317" t="s">
        <v>1419</v>
      </c>
      <c r="H317" s="172">
        <v>45672</v>
      </c>
      <c r="I317" t="s">
        <v>1435</v>
      </c>
      <c r="J317" s="172">
        <v>45397</v>
      </c>
      <c r="K317" s="172">
        <v>45587</v>
      </c>
      <c r="L317" s="172">
        <v>45618</v>
      </c>
      <c r="M317" s="172">
        <v>45622</v>
      </c>
      <c r="N317" s="172">
        <v>45637</v>
      </c>
      <c r="O317" s="12" t="s">
        <v>1841</v>
      </c>
      <c r="P317" t="s">
        <v>1419</v>
      </c>
      <c r="Q317" t="s">
        <v>1234</v>
      </c>
      <c r="R317" t="s">
        <v>1234</v>
      </c>
      <c r="S317" t="s">
        <v>2323</v>
      </c>
      <c r="T317" t="s">
        <v>2389</v>
      </c>
    </row>
    <row r="318" spans="1:20">
      <c r="A318" s="12" t="s">
        <v>397</v>
      </c>
      <c r="B318" t="s">
        <v>2390</v>
      </c>
      <c r="C318" t="s">
        <v>1704</v>
      </c>
      <c r="D318" t="s">
        <v>1705</v>
      </c>
      <c r="E318" t="s">
        <v>994</v>
      </c>
      <c r="F318" t="s">
        <v>2391</v>
      </c>
      <c r="G318" t="s">
        <v>1419</v>
      </c>
      <c r="H318" s="172">
        <v>45705</v>
      </c>
      <c r="I318" t="s">
        <v>1435</v>
      </c>
      <c r="J318" s="172"/>
      <c r="K318" s="172"/>
      <c r="L318" s="172"/>
      <c r="M318" s="172">
        <v>45645</v>
      </c>
      <c r="N318" s="172"/>
      <c r="O318" s="12" t="s">
        <v>2347</v>
      </c>
      <c r="P318" t="s">
        <v>1419</v>
      </c>
      <c r="Q318" t="s">
        <v>994</v>
      </c>
      <c r="R318" t="s">
        <v>994</v>
      </c>
      <c r="S318" t="s">
        <v>2323</v>
      </c>
      <c r="T318" t="s">
        <v>2392</v>
      </c>
    </row>
    <row r="319" spans="1:20">
      <c r="A319" s="12" t="s">
        <v>2393</v>
      </c>
      <c r="B319" t="s">
        <v>2394</v>
      </c>
      <c r="C319" t="s">
        <v>1423</v>
      </c>
      <c r="D319" t="s">
        <v>1424</v>
      </c>
      <c r="E319" t="s">
        <v>994</v>
      </c>
      <c r="F319" t="s">
        <v>2395</v>
      </c>
      <c r="G319" t="s">
        <v>1419</v>
      </c>
      <c r="H319" s="172"/>
      <c r="I319" t="s">
        <v>1417</v>
      </c>
      <c r="J319" s="172">
        <v>45630</v>
      </c>
      <c r="K319" s="172">
        <v>45660</v>
      </c>
      <c r="L319" s="172">
        <v>45636</v>
      </c>
      <c r="M319" s="172">
        <v>45673</v>
      </c>
      <c r="N319" s="172">
        <v>45687</v>
      </c>
      <c r="O319" s="12" t="s">
        <v>618</v>
      </c>
      <c r="P319" t="s">
        <v>1419</v>
      </c>
      <c r="Q319" t="s">
        <v>1234</v>
      </c>
      <c r="R319" t="s">
        <v>1453</v>
      </c>
      <c r="S319" t="s">
        <v>2323</v>
      </c>
      <c r="T319" t="s">
        <v>1419</v>
      </c>
    </row>
    <row r="320" spans="1:20">
      <c r="A320" s="12" t="s">
        <v>2396</v>
      </c>
      <c r="B320" t="s">
        <v>2397</v>
      </c>
      <c r="C320" t="s">
        <v>1704</v>
      </c>
      <c r="D320" t="s">
        <v>1705</v>
      </c>
      <c r="E320" t="s">
        <v>994</v>
      </c>
      <c r="F320" t="s">
        <v>2398</v>
      </c>
      <c r="G320" t="s">
        <v>1419</v>
      </c>
      <c r="H320" s="172">
        <v>45686</v>
      </c>
      <c r="I320" t="s">
        <v>1435</v>
      </c>
      <c r="J320" s="172">
        <v>45379</v>
      </c>
      <c r="K320" s="172">
        <v>45379</v>
      </c>
      <c r="L320" s="172">
        <v>45701</v>
      </c>
      <c r="M320" s="172">
        <v>45736</v>
      </c>
      <c r="N320" s="172"/>
      <c r="O320" s="12" t="s">
        <v>2399</v>
      </c>
      <c r="P320" t="s">
        <v>1419</v>
      </c>
      <c r="Q320" t="s">
        <v>1453</v>
      </c>
      <c r="R320" t="s">
        <v>994</v>
      </c>
      <c r="S320" t="s">
        <v>2323</v>
      </c>
      <c r="T320" t="s">
        <v>2400</v>
      </c>
    </row>
    <row r="321" spans="1:20">
      <c r="A321" s="12" t="s">
        <v>2401</v>
      </c>
      <c r="B321" t="s">
        <v>2402</v>
      </c>
      <c r="C321" t="s">
        <v>1704</v>
      </c>
      <c r="D321" t="s">
        <v>1705</v>
      </c>
      <c r="E321" t="s">
        <v>994</v>
      </c>
      <c r="F321" t="s">
        <v>2403</v>
      </c>
      <c r="G321" t="s">
        <v>1419</v>
      </c>
      <c r="H321" s="172">
        <v>45672</v>
      </c>
      <c r="I321" t="s">
        <v>1417</v>
      </c>
      <c r="J321" s="172">
        <v>45672</v>
      </c>
      <c r="K321" s="172"/>
      <c r="L321" s="172"/>
      <c r="M321" s="172"/>
      <c r="N321" s="172"/>
      <c r="O321" s="12" t="s">
        <v>2404</v>
      </c>
      <c r="P321" t="s">
        <v>1419</v>
      </c>
      <c r="Q321" t="s">
        <v>994</v>
      </c>
      <c r="R321" t="s">
        <v>994</v>
      </c>
      <c r="S321" t="s">
        <v>2323</v>
      </c>
      <c r="T321" t="s">
        <v>2405</v>
      </c>
    </row>
    <row r="322" spans="1:20">
      <c r="A322" s="12" t="s">
        <v>1935</v>
      </c>
      <c r="B322" t="s">
        <v>1936</v>
      </c>
      <c r="C322" t="s">
        <v>1704</v>
      </c>
      <c r="D322" t="s">
        <v>1705</v>
      </c>
      <c r="E322" t="s">
        <v>994</v>
      </c>
      <c r="F322" t="s">
        <v>2403</v>
      </c>
      <c r="G322" t="s">
        <v>1419</v>
      </c>
      <c r="H322" s="172">
        <v>45674</v>
      </c>
      <c r="I322" t="s">
        <v>1417</v>
      </c>
      <c r="J322" s="172">
        <v>45334</v>
      </c>
      <c r="K322" s="172">
        <v>45350</v>
      </c>
      <c r="L322" s="172">
        <v>45639</v>
      </c>
      <c r="M322" s="172">
        <v>45644</v>
      </c>
      <c r="N322" s="172">
        <v>45687</v>
      </c>
      <c r="O322" s="12" t="s">
        <v>1937</v>
      </c>
      <c r="P322" t="s">
        <v>1419</v>
      </c>
      <c r="Q322" t="s">
        <v>1234</v>
      </c>
      <c r="R322" t="s">
        <v>1453</v>
      </c>
      <c r="S322" t="s">
        <v>2323</v>
      </c>
      <c r="T322" t="s">
        <v>2406</v>
      </c>
    </row>
    <row r="323" spans="1:20">
      <c r="A323" s="12" t="s">
        <v>229</v>
      </c>
      <c r="B323" t="s">
        <v>2407</v>
      </c>
      <c r="H323" s="182"/>
      <c r="J323" s="182"/>
      <c r="K323" s="182"/>
      <c r="L323" s="182"/>
      <c r="M323" s="182"/>
      <c r="N323" s="182"/>
      <c r="O323" s="12" t="s">
        <v>618</v>
      </c>
    </row>
    <row r="324" spans="1:20">
      <c r="A324" s="12" t="s">
        <v>2408</v>
      </c>
      <c r="B324" t="s">
        <v>2409</v>
      </c>
      <c r="H324" s="182"/>
      <c r="J324" s="182"/>
      <c r="K324" s="182"/>
      <c r="L324" s="182"/>
      <c r="M324" s="182"/>
      <c r="N324" s="182"/>
      <c r="O324" s="12" t="s">
        <v>618</v>
      </c>
    </row>
    <row r="325" spans="1:20">
      <c r="A325" s="12" t="s">
        <v>283</v>
      </c>
      <c r="B325" t="s">
        <v>2410</v>
      </c>
      <c r="H325" s="182"/>
      <c r="J325" s="182"/>
      <c r="K325" s="182"/>
      <c r="L325" s="182"/>
      <c r="M325" s="182"/>
      <c r="N325" s="182"/>
      <c r="O325" s="12" t="s">
        <v>618</v>
      </c>
    </row>
    <row r="326" spans="1:20">
      <c r="A326" s="12" t="s">
        <v>2411</v>
      </c>
      <c r="B326" t="s">
        <v>2412</v>
      </c>
      <c r="H326" s="182"/>
      <c r="J326" s="182"/>
      <c r="K326" s="182"/>
      <c r="L326" s="182"/>
      <c r="M326" s="182"/>
      <c r="N326" s="182"/>
      <c r="O326" s="12" t="s">
        <v>618</v>
      </c>
    </row>
    <row r="327" spans="1:20">
      <c r="A327" s="12" t="s">
        <v>243</v>
      </c>
      <c r="B327" t="s">
        <v>2413</v>
      </c>
      <c r="H327" s="182"/>
      <c r="J327" s="182"/>
      <c r="K327" s="182"/>
      <c r="L327" s="182"/>
      <c r="M327" s="182"/>
      <c r="N327" s="182"/>
      <c r="O327" s="12" t="s">
        <v>2414</v>
      </c>
    </row>
    <row r="328" spans="1:20">
      <c r="A328" s="12" t="s">
        <v>2415</v>
      </c>
      <c r="B328" t="s">
        <v>2416</v>
      </c>
      <c r="H328" s="182"/>
      <c r="J328" s="182"/>
      <c r="K328" s="182"/>
      <c r="L328" s="182"/>
      <c r="M328" s="182"/>
      <c r="N328" s="182"/>
      <c r="O328" s="12" t="s">
        <v>618</v>
      </c>
    </row>
    <row r="329" spans="1:20">
      <c r="A329" s="12" t="s">
        <v>235</v>
      </c>
      <c r="B329" t="s">
        <v>2417</v>
      </c>
      <c r="H329" s="182"/>
      <c r="J329" s="182"/>
      <c r="K329" s="182"/>
      <c r="L329" s="182"/>
      <c r="M329" s="182"/>
      <c r="N329" s="182"/>
      <c r="O329" s="12" t="s">
        <v>618</v>
      </c>
    </row>
    <row r="330" spans="1:20">
      <c r="A330" s="136" t="s">
        <v>254</v>
      </c>
      <c r="B330" t="s">
        <v>2418</v>
      </c>
      <c r="H330" s="182"/>
      <c r="J330" s="182"/>
      <c r="K330" s="182"/>
      <c r="L330" s="182"/>
      <c r="M330" s="182"/>
      <c r="N330" s="182"/>
      <c r="O330" s="12" t="s">
        <v>618</v>
      </c>
    </row>
    <row r="331" spans="1:20">
      <c r="A331" s="445" t="s">
        <v>301</v>
      </c>
      <c r="B331" s="2" t="s">
        <v>2419</v>
      </c>
      <c r="H331" s="182"/>
      <c r="J331" s="182"/>
      <c r="K331" s="182"/>
      <c r="L331" s="182"/>
      <c r="M331" s="182"/>
      <c r="N331" s="182"/>
      <c r="O331" s="12" t="s">
        <v>618</v>
      </c>
    </row>
    <row r="332" spans="1:20">
      <c r="A332" s="12" t="s">
        <v>268</v>
      </c>
      <c r="B332" t="s">
        <v>2420</v>
      </c>
      <c r="E332" t="s">
        <v>2421</v>
      </c>
      <c r="H332" s="182"/>
      <c r="J332" s="182"/>
      <c r="K332" s="182"/>
      <c r="L332" s="182"/>
      <c r="M332" s="182"/>
      <c r="N332" s="182"/>
      <c r="O332" s="12" t="s">
        <v>618</v>
      </c>
    </row>
    <row r="333" spans="1:20">
      <c r="A333" s="12" t="s">
        <v>451</v>
      </c>
      <c r="B333" t="s">
        <v>957</v>
      </c>
      <c r="H333" s="182"/>
      <c r="J333" s="182"/>
      <c r="K333" s="182"/>
      <c r="L333" s="182"/>
      <c r="M333" s="182"/>
      <c r="N333" s="182"/>
      <c r="O333" s="12" t="s">
        <v>2422</v>
      </c>
    </row>
    <row r="334" spans="1:20">
      <c r="A334" s="12" t="s">
        <v>459</v>
      </c>
      <c r="B334" t="s">
        <v>2423</v>
      </c>
      <c r="H334" s="182"/>
      <c r="J334" s="182"/>
      <c r="K334" s="182"/>
      <c r="L334" s="182"/>
      <c r="M334" s="182"/>
      <c r="N334" s="182"/>
      <c r="O334" s="12" t="s">
        <v>618</v>
      </c>
    </row>
    <row r="335" spans="1:20">
      <c r="A335" s="446" t="s">
        <v>436</v>
      </c>
      <c r="B335" t="s">
        <v>2424</v>
      </c>
      <c r="H335" s="182"/>
      <c r="J335" s="182"/>
      <c r="K335" s="182"/>
      <c r="L335" s="182"/>
      <c r="M335" s="182"/>
      <c r="N335" s="182"/>
      <c r="O335" s="12" t="s">
        <v>618</v>
      </c>
    </row>
    <row r="336" spans="1:20">
      <c r="A336" s="8" t="s">
        <v>271</v>
      </c>
      <c r="B336" t="s">
        <v>939</v>
      </c>
      <c r="H336" s="182"/>
      <c r="J336" s="182"/>
      <c r="K336" s="182"/>
      <c r="L336" s="182"/>
      <c r="M336" s="182"/>
      <c r="N336" s="182"/>
      <c r="O336" s="12" t="s">
        <v>2425</v>
      </c>
    </row>
    <row r="337" spans="1:15">
      <c r="A337" s="136" t="s">
        <v>402</v>
      </c>
      <c r="B337" t="s">
        <v>946</v>
      </c>
      <c r="H337" s="182"/>
      <c r="J337" s="182"/>
      <c r="K337" s="182"/>
      <c r="L337" s="182"/>
      <c r="M337" s="182"/>
      <c r="N337" s="182"/>
      <c r="O337" s="12" t="s">
        <v>2426</v>
      </c>
    </row>
    <row r="338" spans="1:15">
      <c r="A338" s="136" t="s">
        <v>444</v>
      </c>
      <c r="B338" s="136" t="s">
        <v>950</v>
      </c>
      <c r="H338" s="182"/>
      <c r="J338" s="182"/>
      <c r="K338" s="182"/>
      <c r="L338" s="182"/>
      <c r="M338" s="182"/>
      <c r="N338" s="182"/>
      <c r="O338" s="12" t="s">
        <v>2427</v>
      </c>
    </row>
    <row r="339" spans="1:15">
      <c r="A339" s="12" t="s">
        <v>459</v>
      </c>
      <c r="B339" t="s">
        <v>2428</v>
      </c>
      <c r="H339" s="182"/>
      <c r="J339" s="182"/>
      <c r="K339" s="182"/>
      <c r="L339" s="182"/>
      <c r="M339" s="182"/>
      <c r="N339" s="182"/>
      <c r="O339" s="12" t="s">
        <v>2429</v>
      </c>
    </row>
    <row r="340" spans="1:15">
      <c r="A340" s="8" t="s">
        <v>316</v>
      </c>
      <c r="B340" t="s">
        <v>2430</v>
      </c>
      <c r="H340" s="182"/>
      <c r="J340" s="182"/>
      <c r="K340" s="182"/>
      <c r="L340" s="182"/>
      <c r="M340" s="182"/>
      <c r="N340" s="182"/>
      <c r="O340" s="12" t="s">
        <v>2431</v>
      </c>
    </row>
    <row r="341" spans="1:15">
      <c r="A341" s="447" t="s">
        <v>346</v>
      </c>
      <c r="B341" t="s">
        <v>2432</v>
      </c>
      <c r="H341" s="182"/>
      <c r="J341" s="182"/>
      <c r="K341" s="182"/>
      <c r="L341" s="182"/>
      <c r="M341" s="182"/>
      <c r="N341" s="182"/>
      <c r="O341" s="12" t="s">
        <v>2433</v>
      </c>
    </row>
    <row r="342" spans="1:15">
      <c r="A342" s="136" t="s">
        <v>352</v>
      </c>
      <c r="B342" t="s">
        <v>2434</v>
      </c>
      <c r="H342" s="182"/>
      <c r="J342" s="182"/>
      <c r="K342" s="182"/>
      <c r="L342" s="182"/>
      <c r="M342" s="182"/>
      <c r="N342" s="182"/>
      <c r="O342" s="12" t="s">
        <v>2435</v>
      </c>
    </row>
    <row r="343" spans="1:15">
      <c r="A343" s="8" t="s">
        <v>362</v>
      </c>
      <c r="B343" t="s">
        <v>2436</v>
      </c>
      <c r="H343" s="182"/>
      <c r="J343" s="182"/>
      <c r="K343" s="182"/>
      <c r="L343" s="182"/>
      <c r="M343" s="182"/>
      <c r="N343" s="182"/>
      <c r="O343" s="12" t="s">
        <v>2431</v>
      </c>
    </row>
    <row r="344" spans="1:15">
      <c r="A344" s="136" t="s">
        <v>366</v>
      </c>
      <c r="B344" t="s">
        <v>908</v>
      </c>
      <c r="H344" s="182"/>
      <c r="J344" s="182"/>
      <c r="K344" s="182"/>
      <c r="L344" s="182"/>
      <c r="M344" s="182"/>
      <c r="N344" s="182"/>
      <c r="O344" s="12" t="s">
        <v>908</v>
      </c>
    </row>
    <row r="345" spans="1:15">
      <c r="A345" s="8" t="s">
        <v>380</v>
      </c>
      <c r="B345" t="s">
        <v>2437</v>
      </c>
      <c r="H345" s="182"/>
      <c r="J345" s="182"/>
      <c r="K345" s="182"/>
      <c r="L345" s="182"/>
      <c r="M345" s="182"/>
      <c r="N345" s="182"/>
      <c r="O345" s="12">
        <v>2513.5</v>
      </c>
    </row>
    <row r="346" spans="1:15">
      <c r="A346" s="210" t="s">
        <v>384</v>
      </c>
      <c r="B346" t="s">
        <v>920</v>
      </c>
      <c r="H346" s="182"/>
      <c r="J346" s="182"/>
      <c r="K346" s="182"/>
      <c r="L346" s="182"/>
      <c r="M346" s="182"/>
      <c r="N346" s="182"/>
      <c r="O346" s="12" t="s">
        <v>2438</v>
      </c>
    </row>
    <row r="347" spans="1:15">
      <c r="A347" s="123" t="s">
        <v>388</v>
      </c>
      <c r="B347" t="s">
        <v>922</v>
      </c>
      <c r="H347" s="182"/>
      <c r="J347" s="182"/>
      <c r="K347" s="182"/>
      <c r="L347" s="182"/>
      <c r="M347" s="182"/>
      <c r="N347" s="182"/>
      <c r="O347" s="12" t="s">
        <v>2439</v>
      </c>
    </row>
    <row r="348" spans="1:15">
      <c r="A348" s="136" t="s">
        <v>366</v>
      </c>
      <c r="B348" t="s">
        <v>2440</v>
      </c>
      <c r="H348" s="182"/>
      <c r="J348" s="182"/>
      <c r="K348" s="182"/>
      <c r="L348" s="182"/>
      <c r="M348" s="182"/>
      <c r="N348" s="182"/>
      <c r="O348" s="12" t="s">
        <v>618</v>
      </c>
    </row>
    <row r="349" spans="1:15">
      <c r="A349" s="210" t="s">
        <v>408</v>
      </c>
      <c r="B349" t="s">
        <v>2441</v>
      </c>
      <c r="H349" s="182"/>
      <c r="J349" s="182"/>
      <c r="K349" s="182"/>
      <c r="L349" s="182"/>
      <c r="M349" s="182"/>
      <c r="N349" s="182"/>
      <c r="O349" s="12">
        <v>25.17</v>
      </c>
    </row>
    <row r="350" spans="1:15">
      <c r="A350" s="8" t="s">
        <v>423</v>
      </c>
      <c r="B350" t="s">
        <v>2442</v>
      </c>
      <c r="H350" s="182"/>
      <c r="J350" s="182"/>
      <c r="K350" s="182"/>
      <c r="L350" s="182"/>
      <c r="M350" s="182"/>
      <c r="N350" s="182"/>
      <c r="O350" s="12" t="s">
        <v>618</v>
      </c>
    </row>
    <row r="351" spans="1:15">
      <c r="A351" s="448" t="s">
        <v>428</v>
      </c>
      <c r="B351" t="s">
        <v>2443</v>
      </c>
      <c r="H351" s="182"/>
      <c r="J351" s="182"/>
      <c r="K351" s="182"/>
      <c r="L351" s="182"/>
      <c r="M351" s="182"/>
      <c r="N351" s="182"/>
      <c r="O351" s="12" t="s">
        <v>2444</v>
      </c>
    </row>
    <row r="352" spans="1:15">
      <c r="A352" s="449" t="s">
        <v>465</v>
      </c>
      <c r="B352" t="s">
        <v>948</v>
      </c>
      <c r="H352" s="182"/>
      <c r="J352" s="182"/>
      <c r="K352" s="182"/>
      <c r="L352" s="182"/>
      <c r="M352" s="182"/>
      <c r="N352" s="182"/>
      <c r="O352" s="12" t="s">
        <v>2445</v>
      </c>
    </row>
    <row r="353" spans="1:15">
      <c r="A353" s="449" t="s">
        <v>469</v>
      </c>
      <c r="B353" t="s">
        <v>944</v>
      </c>
      <c r="H353" s="182"/>
      <c r="J353" s="182"/>
      <c r="K353" s="182"/>
      <c r="L353" s="182"/>
      <c r="M353" s="182"/>
      <c r="N353" s="182"/>
      <c r="O353" s="12" t="s">
        <v>2446</v>
      </c>
    </row>
    <row r="354" spans="1:15">
      <c r="A354" s="136" t="s">
        <v>477</v>
      </c>
      <c r="B354" t="s">
        <v>940</v>
      </c>
      <c r="H354" s="182"/>
      <c r="J354" s="182"/>
      <c r="K354" s="182"/>
      <c r="L354" s="182"/>
      <c r="M354" s="182"/>
      <c r="N354" s="182"/>
      <c r="O354" s="12" t="s">
        <v>618</v>
      </c>
    </row>
    <row r="355" spans="1:15">
      <c r="A355" s="12" t="s">
        <v>494</v>
      </c>
      <c r="B355" t="s">
        <v>941</v>
      </c>
      <c r="H355" s="182"/>
      <c r="J355" s="182"/>
      <c r="K355" s="182"/>
      <c r="L355" s="182"/>
      <c r="M355" s="182"/>
      <c r="N355" s="182"/>
      <c r="O355" s="12" t="s">
        <v>618</v>
      </c>
    </row>
    <row r="356" spans="1:15">
      <c r="A356" s="450" t="s">
        <v>510</v>
      </c>
      <c r="B356" t="s">
        <v>942</v>
      </c>
      <c r="H356" s="182"/>
      <c r="J356" s="182"/>
      <c r="K356" s="182"/>
      <c r="L356" s="182"/>
      <c r="M356" s="182"/>
      <c r="N356" s="182"/>
      <c r="O356" s="12" t="s">
        <v>618</v>
      </c>
    </row>
    <row r="357" spans="1:15">
      <c r="A357" s="12" t="s">
        <v>501</v>
      </c>
      <c r="B357" t="s">
        <v>945</v>
      </c>
      <c r="H357" s="182"/>
      <c r="J357" s="182"/>
      <c r="K357" s="182"/>
      <c r="L357" s="182"/>
      <c r="M357" s="182"/>
      <c r="N357" s="182"/>
      <c r="O357" s="12" t="s">
        <v>2447</v>
      </c>
    </row>
    <row r="358" spans="1:15">
      <c r="A358" s="12" t="s">
        <v>521</v>
      </c>
      <c r="B358" t="s">
        <v>958</v>
      </c>
      <c r="H358" s="182"/>
      <c r="J358" s="182"/>
      <c r="K358" s="182"/>
      <c r="L358" s="182"/>
      <c r="M358" s="182"/>
      <c r="N358" s="182"/>
      <c r="O358" s="12" t="s">
        <v>2448</v>
      </c>
    </row>
    <row r="359" spans="1:15">
      <c r="A359" s="451" t="s">
        <v>525</v>
      </c>
      <c r="B359" t="s">
        <v>2449</v>
      </c>
      <c r="H359" s="182"/>
      <c r="J359" s="182"/>
      <c r="K359" s="182"/>
      <c r="L359" s="182"/>
      <c r="M359" s="182"/>
      <c r="N359" s="182"/>
      <c r="O359" s="12" t="s">
        <v>776</v>
      </c>
    </row>
    <row r="360" spans="1:15">
      <c r="A360" s="12" t="s">
        <v>2450</v>
      </c>
      <c r="B360" t="s">
        <v>2451</v>
      </c>
      <c r="H360" s="182"/>
      <c r="J360" s="182"/>
      <c r="K360" s="182"/>
      <c r="L360" s="182"/>
      <c r="M360" s="182"/>
      <c r="N360" s="182"/>
      <c r="O360" s="12" t="s">
        <v>2448</v>
      </c>
    </row>
    <row r="361" spans="1:15">
      <c r="A361" s="12" t="s">
        <v>2452</v>
      </c>
      <c r="B361" t="s">
        <v>2453</v>
      </c>
      <c r="H361" s="182"/>
      <c r="J361" s="182"/>
      <c r="K361" s="182"/>
      <c r="L361" s="182"/>
      <c r="M361" s="182"/>
      <c r="N361" s="182"/>
      <c r="O361" s="12" t="s">
        <v>2448</v>
      </c>
    </row>
    <row r="362" spans="1:15">
      <c r="A362" s="12" t="s">
        <v>534</v>
      </c>
      <c r="B362" t="s">
        <v>2454</v>
      </c>
      <c r="H362" s="182"/>
      <c r="J362" s="182"/>
      <c r="K362" s="182"/>
      <c r="L362" s="182"/>
      <c r="M362" s="182"/>
      <c r="N362" s="182"/>
      <c r="O362" s="12" t="s">
        <v>2455</v>
      </c>
    </row>
    <row r="363" spans="1:15">
      <c r="A363" s="8" t="s">
        <v>554</v>
      </c>
      <c r="B363" t="s">
        <v>2456</v>
      </c>
      <c r="H363" s="182"/>
      <c r="J363" s="182"/>
      <c r="K363" s="182"/>
      <c r="L363" s="182"/>
      <c r="M363" s="182"/>
      <c r="N363" s="182"/>
      <c r="O363" s="12" t="s">
        <v>2457</v>
      </c>
    </row>
    <row r="364" spans="1:15">
      <c r="A364" s="12" t="s">
        <v>551</v>
      </c>
      <c r="B364" s="267" t="s">
        <v>2458</v>
      </c>
      <c r="H364" s="182"/>
      <c r="J364" s="182"/>
      <c r="K364" s="182"/>
      <c r="L364" s="182"/>
      <c r="M364" s="182"/>
      <c r="N364" s="182"/>
      <c r="O364" s="12" t="s">
        <v>2459</v>
      </c>
    </row>
    <row r="365" spans="1:15">
      <c r="A365" s="12" t="s">
        <v>547</v>
      </c>
      <c r="B365" t="s">
        <v>2460</v>
      </c>
      <c r="H365" s="182"/>
      <c r="J365" s="182"/>
      <c r="K365" s="182"/>
      <c r="L365" s="182"/>
      <c r="M365" s="182"/>
      <c r="N365" s="182"/>
      <c r="O365" s="12" t="s">
        <v>2426</v>
      </c>
    </row>
    <row r="366" spans="1:15">
      <c r="A366" s="12" t="s">
        <v>416</v>
      </c>
      <c r="B366" t="s">
        <v>2461</v>
      </c>
      <c r="H366" s="182"/>
      <c r="J366" s="182"/>
      <c r="K366" s="182"/>
      <c r="L366" s="182"/>
      <c r="M366" s="182"/>
      <c r="N366" s="182"/>
      <c r="O366" s="12" t="s">
        <v>2462</v>
      </c>
    </row>
    <row r="367" spans="1:15">
      <c r="A367" s="12" t="s">
        <v>505</v>
      </c>
      <c r="B367" s="360" t="s">
        <v>2463</v>
      </c>
      <c r="H367" s="182"/>
      <c r="J367" s="182"/>
      <c r="K367" s="182"/>
      <c r="L367" s="182"/>
      <c r="M367" s="182"/>
      <c r="N367" s="182"/>
      <c r="O367" s="12" t="s">
        <v>2464</v>
      </c>
    </row>
    <row r="368" spans="1:15">
      <c r="A368" s="12" t="s">
        <v>547</v>
      </c>
      <c r="B368" t="s">
        <v>2460</v>
      </c>
      <c r="H368" s="182"/>
      <c r="J368" s="182"/>
      <c r="K368" s="182"/>
      <c r="L368" s="182"/>
      <c r="M368" s="182"/>
      <c r="N368" s="182"/>
      <c r="O368" s="12" t="s">
        <v>2426</v>
      </c>
    </row>
    <row r="369" spans="1:16">
      <c r="A369" s="12" t="s">
        <v>2465</v>
      </c>
      <c r="B369" t="s">
        <v>2466</v>
      </c>
      <c r="H369" s="182"/>
      <c r="J369" s="182"/>
      <c r="K369" s="182"/>
      <c r="L369" s="182"/>
      <c r="M369" s="182"/>
      <c r="N369" s="182"/>
      <c r="O369" s="12" t="s">
        <v>2448</v>
      </c>
    </row>
    <row r="370" spans="1:16">
      <c r="A370" s="290" t="s">
        <v>565</v>
      </c>
      <c r="B370" t="s">
        <v>2467</v>
      </c>
      <c r="H370" s="182"/>
      <c r="J370" s="182"/>
      <c r="K370" s="182"/>
      <c r="L370" s="182"/>
      <c r="M370" s="182"/>
      <c r="N370" s="182"/>
      <c r="O370" s="12" t="s">
        <v>2468</v>
      </c>
    </row>
    <row r="371" spans="1:16">
      <c r="A371" s="452" t="s">
        <v>554</v>
      </c>
      <c r="B371" t="s">
        <v>2456</v>
      </c>
      <c r="H371" s="182"/>
      <c r="J371" s="182"/>
      <c r="K371" s="182"/>
      <c r="L371" s="182"/>
      <c r="M371" s="182"/>
      <c r="N371" s="182"/>
      <c r="O371" t="s">
        <v>2469</v>
      </c>
    </row>
    <row r="372" spans="1:16">
      <c r="A372" s="12" t="s">
        <v>2470</v>
      </c>
      <c r="B372" t="s">
        <v>2471</v>
      </c>
      <c r="H372" s="182"/>
      <c r="J372" s="182"/>
      <c r="K372" s="182"/>
      <c r="L372" s="182"/>
      <c r="M372" s="182"/>
      <c r="N372" s="182"/>
      <c r="O372" s="12" t="s">
        <v>2472</v>
      </c>
    </row>
    <row r="373" spans="1:16">
      <c r="A373" s="12" t="s">
        <v>428</v>
      </c>
      <c r="B373" t="s">
        <v>2443</v>
      </c>
      <c r="H373" s="182"/>
      <c r="J373" s="182"/>
      <c r="K373" s="182"/>
      <c r="L373" s="182"/>
      <c r="M373" s="182"/>
      <c r="N373" s="182"/>
      <c r="O373" s="12" t="s">
        <v>2468</v>
      </c>
    </row>
    <row r="374" spans="1:16">
      <c r="A374" s="290" t="s">
        <v>585</v>
      </c>
      <c r="B374" t="s">
        <v>2473</v>
      </c>
      <c r="H374" s="182"/>
      <c r="J374" s="182"/>
      <c r="K374" s="182"/>
      <c r="L374" s="182"/>
      <c r="M374" s="182"/>
      <c r="N374" s="182"/>
      <c r="O374" s="12" t="s">
        <v>2474</v>
      </c>
    </row>
    <row r="375" spans="1:16" ht="15.75" thickBot="1">
      <c r="A375" s="286" t="s">
        <v>1007</v>
      </c>
      <c r="B375" s="360" t="s">
        <v>2475</v>
      </c>
      <c r="H375" s="182"/>
      <c r="J375" s="182"/>
      <c r="K375" s="182"/>
      <c r="L375" s="182"/>
      <c r="M375" s="182"/>
      <c r="N375" s="182"/>
      <c r="O375" s="12" t="s">
        <v>2476</v>
      </c>
    </row>
    <row r="376" spans="1:16" ht="15.75" thickTop="1">
      <c r="A376" s="8" t="s">
        <v>2477</v>
      </c>
      <c r="B376" s="359" t="s">
        <v>2478</v>
      </c>
      <c r="O376" s="321" t="s">
        <v>2479</v>
      </c>
    </row>
    <row r="377" spans="1:16">
      <c r="A377" s="12" t="s">
        <v>604</v>
      </c>
      <c r="B377" t="s">
        <v>2480</v>
      </c>
      <c r="O377" t="s">
        <v>2481</v>
      </c>
    </row>
    <row r="378" spans="1:16">
      <c r="A378" s="12" t="s">
        <v>597</v>
      </c>
      <c r="B378" t="s">
        <v>2482</v>
      </c>
      <c r="O378" t="s">
        <v>2483</v>
      </c>
    </row>
    <row r="379" spans="1:16">
      <c r="A379" s="12" t="s">
        <v>591</v>
      </c>
      <c r="B379" s="360" t="s">
        <v>2484</v>
      </c>
      <c r="H379" s="182"/>
      <c r="J379" s="182"/>
      <c r="K379" s="182"/>
      <c r="L379" s="182"/>
      <c r="M379" s="182"/>
      <c r="N379" s="182"/>
      <c r="O379" t="s">
        <v>2481</v>
      </c>
    </row>
    <row r="380" spans="1:16" ht="22.5" customHeight="1">
      <c r="A380" s="282" t="s">
        <v>574</v>
      </c>
      <c r="B380" t="s">
        <v>2485</v>
      </c>
      <c r="H380" s="182"/>
      <c r="J380" s="182"/>
      <c r="K380" s="182"/>
      <c r="L380" s="182"/>
      <c r="M380" s="182"/>
      <c r="N380" s="182"/>
      <c r="O380" s="348" t="s">
        <v>2486</v>
      </c>
      <c r="P380" s="348"/>
    </row>
    <row r="381" spans="1:16">
      <c r="A381" s="12" t="s">
        <v>610</v>
      </c>
      <c r="B381" t="s">
        <v>2487</v>
      </c>
      <c r="H381" s="182"/>
      <c r="J381" s="182"/>
      <c r="K381" s="182"/>
      <c r="L381" s="182"/>
      <c r="M381" s="182"/>
      <c r="N381" s="182"/>
      <c r="O381" s="12"/>
    </row>
    <row r="382" spans="1:16">
      <c r="A382" s="12">
        <v>53161866</v>
      </c>
      <c r="B382" t="s">
        <v>2488</v>
      </c>
      <c r="H382" s="182"/>
      <c r="J382" s="182"/>
      <c r="K382" s="182"/>
      <c r="L382" s="182"/>
      <c r="M382" s="182"/>
      <c r="N382" s="182"/>
      <c r="O382" s="12" t="s">
        <v>2489</v>
      </c>
    </row>
    <row r="383" spans="1:16" ht="15.75" thickBot="1">
      <c r="A383" s="492" t="s">
        <v>494</v>
      </c>
      <c r="B383" t="s">
        <v>2490</v>
      </c>
      <c r="H383" s="182"/>
      <c r="J383" s="182"/>
      <c r="K383" s="182"/>
      <c r="L383" s="182"/>
      <c r="M383" s="182"/>
      <c r="N383" s="182"/>
      <c r="O383" s="12"/>
    </row>
    <row r="384" spans="1:16" ht="15.75" thickTop="1">
      <c r="A384" s="8" t="s">
        <v>2491</v>
      </c>
      <c r="B384" s="359" t="s">
        <v>2492</v>
      </c>
      <c r="H384" s="182"/>
      <c r="J384" s="182"/>
      <c r="K384" s="182"/>
      <c r="L384" s="182"/>
      <c r="M384" s="182"/>
      <c r="N384" s="182"/>
      <c r="O384" s="321"/>
    </row>
    <row r="385" spans="1:15">
      <c r="A385" s="12" t="s">
        <v>2493</v>
      </c>
      <c r="B385" s="338" t="s">
        <v>2494</v>
      </c>
      <c r="H385" s="182"/>
      <c r="J385" s="182"/>
      <c r="K385" s="182"/>
      <c r="L385" s="182"/>
      <c r="M385" s="182"/>
      <c r="N385" s="182"/>
      <c r="O385" s="12"/>
    </row>
    <row r="386" spans="1:15">
      <c r="A386" s="12" t="s">
        <v>629</v>
      </c>
      <c r="B386" t="s">
        <v>2495</v>
      </c>
      <c r="H386" s="182"/>
      <c r="J386" s="182"/>
      <c r="K386" s="182"/>
      <c r="L386" s="182"/>
      <c r="M386" s="182"/>
      <c r="N386" s="182"/>
      <c r="O386" s="12"/>
    </row>
    <row r="387" spans="1:15">
      <c r="A387" s="12" t="s">
        <v>639</v>
      </c>
      <c r="B387" t="s">
        <v>2496</v>
      </c>
      <c r="H387" s="182"/>
      <c r="J387" s="182"/>
      <c r="K387" s="182"/>
      <c r="L387" s="182"/>
      <c r="M387" s="182"/>
      <c r="N387" s="182"/>
      <c r="O387" s="12"/>
    </row>
    <row r="388" spans="1:15">
      <c r="A388" s="290" t="s">
        <v>625</v>
      </c>
      <c r="B388" t="s">
        <v>2497</v>
      </c>
      <c r="H388" s="182"/>
      <c r="J388" s="182"/>
      <c r="K388" s="182"/>
      <c r="L388" s="182"/>
      <c r="M388" s="182"/>
      <c r="N388" s="182"/>
      <c r="O388" s="12" t="s">
        <v>2498</v>
      </c>
    </row>
    <row r="389" spans="1:15">
      <c r="A389" s="12" t="s">
        <v>634</v>
      </c>
      <c r="B389" s="361" t="s">
        <v>2499</v>
      </c>
      <c r="H389" s="182"/>
      <c r="J389" s="182"/>
      <c r="K389" s="182"/>
      <c r="L389" s="182"/>
      <c r="M389" s="182"/>
      <c r="N389" s="182"/>
      <c r="O389" s="12" t="s">
        <v>2500</v>
      </c>
    </row>
    <row r="390" spans="1:15">
      <c r="A390" s="12" t="s">
        <v>657</v>
      </c>
      <c r="B390" s="267" t="s">
        <v>2501</v>
      </c>
      <c r="H390" s="182"/>
      <c r="J390" s="182"/>
      <c r="K390" s="182"/>
      <c r="L390" s="182"/>
      <c r="M390" s="182"/>
      <c r="N390" s="182"/>
      <c r="O390" s="12" t="s">
        <v>2500</v>
      </c>
    </row>
    <row r="391" spans="1:15">
      <c r="A391" s="12" t="s">
        <v>664</v>
      </c>
      <c r="B391" t="s">
        <v>2502</v>
      </c>
      <c r="H391" s="182"/>
      <c r="J391" s="182"/>
      <c r="K391" s="182"/>
      <c r="L391" s="182"/>
      <c r="M391" s="182"/>
      <c r="N391" s="182"/>
      <c r="O391" s="12" t="s">
        <v>2503</v>
      </c>
    </row>
    <row r="392" spans="1:15">
      <c r="A392" s="12" t="s">
        <v>672</v>
      </c>
      <c r="B392" t="s">
        <v>2504</v>
      </c>
      <c r="H392" s="182"/>
      <c r="J392" s="182"/>
      <c r="K392" s="182"/>
      <c r="L392" s="182"/>
      <c r="M392" s="182"/>
      <c r="N392" s="182"/>
      <c r="O392" s="12" t="s">
        <v>2505</v>
      </c>
    </row>
    <row r="393" spans="1:15">
      <c r="A393" s="12" t="s">
        <v>676</v>
      </c>
      <c r="B393" t="s">
        <v>2506</v>
      </c>
      <c r="H393" s="182"/>
      <c r="J393" s="182"/>
      <c r="K393" s="182"/>
      <c r="L393" s="182"/>
      <c r="M393" s="182"/>
      <c r="N393" s="182"/>
      <c r="O393" s="12" t="s">
        <v>2500</v>
      </c>
    </row>
    <row r="394" spans="1:15">
      <c r="A394" s="286" t="s">
        <v>680</v>
      </c>
      <c r="B394" t="s">
        <v>2507</v>
      </c>
      <c r="H394" s="182"/>
      <c r="J394" s="182"/>
      <c r="K394" s="182"/>
      <c r="L394" s="182"/>
      <c r="M394" s="182"/>
      <c r="N394" s="182"/>
      <c r="O394" s="12"/>
    </row>
    <row r="395" spans="1:15">
      <c r="A395" s="446" t="s">
        <v>692</v>
      </c>
      <c r="B395" t="s">
        <v>2508</v>
      </c>
      <c r="H395" s="182" t="s">
        <v>2509</v>
      </c>
      <c r="J395" s="182"/>
      <c r="K395" s="182"/>
      <c r="L395" s="182"/>
      <c r="M395" s="182"/>
      <c r="N395" s="182"/>
      <c r="O395" t="s">
        <v>2510</v>
      </c>
    </row>
    <row r="396" spans="1:15">
      <c r="A396" s="12" t="s">
        <v>688</v>
      </c>
      <c r="B396" t="s">
        <v>2508</v>
      </c>
      <c r="O396" t="s">
        <v>2511</v>
      </c>
    </row>
    <row r="397" spans="1:15">
      <c r="A397" s="453" t="s">
        <v>669</v>
      </c>
      <c r="B397" t="s">
        <v>2512</v>
      </c>
      <c r="O397" t="s">
        <v>2511</v>
      </c>
    </row>
    <row r="398" spans="1:15">
      <c r="A398" s="12" t="s">
        <v>702</v>
      </c>
      <c r="B398" s="267" t="s">
        <v>2513</v>
      </c>
      <c r="O398" t="s">
        <v>2514</v>
      </c>
    </row>
    <row r="399" spans="1:15">
      <c r="A399" s="454" t="s">
        <v>688</v>
      </c>
      <c r="B399" t="s">
        <v>2515</v>
      </c>
    </row>
    <row r="400" spans="1:15">
      <c r="A400" s="12" t="s">
        <v>711</v>
      </c>
      <c r="B400" t="s">
        <v>2516</v>
      </c>
    </row>
    <row r="401" spans="1:15">
      <c r="A401" s="12" t="s">
        <v>735</v>
      </c>
      <c r="B401" t="s">
        <v>2600</v>
      </c>
      <c r="H401" s="182"/>
      <c r="J401" s="182"/>
      <c r="K401" s="182"/>
      <c r="L401" s="182"/>
      <c r="M401" s="182"/>
      <c r="N401" s="182"/>
      <c r="O401" s="12"/>
    </row>
    <row r="402" spans="1:15">
      <c r="A402" s="12" t="s">
        <v>750</v>
      </c>
      <c r="B402" t="s">
        <v>2601</v>
      </c>
      <c r="C402" s="510"/>
      <c r="H402" s="182"/>
      <c r="J402" s="182"/>
      <c r="K402" s="182"/>
      <c r="L402" s="182"/>
      <c r="M402" s="182"/>
      <c r="N402" s="182"/>
      <c r="O402" s="12"/>
    </row>
    <row r="403" spans="1:15">
      <c r="A403" s="12" t="s">
        <v>743</v>
      </c>
      <c r="B403" t="s">
        <v>2602</v>
      </c>
      <c r="H403" s="182"/>
      <c r="J403" s="182"/>
      <c r="K403" s="182"/>
      <c r="L403" s="182"/>
      <c r="M403" s="182"/>
      <c r="N403" s="182"/>
      <c r="O403" s="12"/>
    </row>
    <row r="404" spans="1:15">
      <c r="A404" s="12"/>
      <c r="H404" s="182"/>
      <c r="J404" s="182"/>
      <c r="K404" s="182"/>
      <c r="L404" s="182"/>
      <c r="M404" s="182"/>
      <c r="N404" s="182"/>
      <c r="O404" s="12"/>
    </row>
    <row r="405" spans="1:15">
      <c r="A405" s="12"/>
      <c r="H405" s="182"/>
      <c r="J405" s="182"/>
      <c r="K405" s="182"/>
      <c r="L405" s="182"/>
      <c r="M405" s="182"/>
      <c r="N405" s="182"/>
      <c r="O405" s="12"/>
    </row>
    <row r="406" spans="1:15">
      <c r="A406" s="12"/>
      <c r="H406" s="182"/>
      <c r="J406" s="182"/>
      <c r="K406" s="182"/>
      <c r="L406" s="182"/>
      <c r="M406" s="182"/>
      <c r="N406" s="182"/>
      <c r="O406" s="12"/>
    </row>
    <row r="407" spans="1:15">
      <c r="A407" s="12"/>
      <c r="H407" s="182"/>
      <c r="J407" s="182"/>
      <c r="K407" s="182"/>
      <c r="L407" s="182"/>
      <c r="M407" s="182"/>
      <c r="N407" s="182"/>
      <c r="O407" s="12"/>
    </row>
    <row r="408" spans="1:15">
      <c r="A408" s="12"/>
      <c r="H408" s="182"/>
      <c r="J408" s="182"/>
      <c r="K408" s="182"/>
      <c r="L408" s="182"/>
      <c r="M408" s="182"/>
      <c r="N408" s="182"/>
      <c r="O408" s="12"/>
    </row>
    <row r="409" spans="1:15">
      <c r="A409" s="12"/>
      <c r="H409" s="182"/>
      <c r="J409" s="182"/>
      <c r="K409" s="182"/>
      <c r="L409" s="182"/>
      <c r="M409" s="182"/>
      <c r="N409" s="182"/>
      <c r="O409" s="12"/>
    </row>
    <row r="410" spans="1:15">
      <c r="A410" s="12"/>
      <c r="B410" s="12"/>
      <c r="H410" s="182"/>
      <c r="J410" s="182"/>
      <c r="K410" s="182"/>
      <c r="L410" s="182"/>
      <c r="M410" s="182"/>
      <c r="N410" s="182"/>
      <c r="O410" s="12"/>
    </row>
    <row r="411" spans="1:15">
      <c r="A411" s="12"/>
      <c r="H411" s="182"/>
      <c r="J411" s="182"/>
      <c r="K411" s="182"/>
      <c r="L411" s="182"/>
      <c r="M411" s="182"/>
      <c r="N411" s="182"/>
      <c r="O411" s="12"/>
    </row>
    <row r="412" spans="1:15">
      <c r="A412" s="12"/>
      <c r="H412" s="182"/>
      <c r="J412" s="182"/>
      <c r="K412" s="182"/>
      <c r="L412" s="182"/>
      <c r="M412" s="182"/>
      <c r="N412" s="182"/>
      <c r="O412" s="12"/>
    </row>
    <row r="413" spans="1:15">
      <c r="A413" s="12"/>
      <c r="H413" s="182"/>
      <c r="J413" s="182"/>
      <c r="K413" s="182"/>
      <c r="L413" s="182"/>
      <c r="M413" s="182"/>
      <c r="N413" s="182"/>
      <c r="O413" s="12"/>
    </row>
    <row r="414" spans="1:15">
      <c r="A414" s="12"/>
      <c r="H414" s="182"/>
      <c r="J414" s="182"/>
      <c r="K414" s="182"/>
      <c r="L414" s="182"/>
      <c r="M414" s="182"/>
      <c r="N414" s="182"/>
      <c r="O414" s="12"/>
    </row>
    <row r="415" spans="1:15">
      <c r="A415" s="12"/>
      <c r="H415" s="182"/>
      <c r="J415" s="182"/>
      <c r="K415" s="182"/>
      <c r="L415" s="182"/>
      <c r="M415" s="182"/>
      <c r="N415" s="182"/>
      <c r="O415" s="12"/>
    </row>
    <row r="416" spans="1:15">
      <c r="A416" s="12"/>
      <c r="H416" s="182"/>
      <c r="J416" s="182"/>
      <c r="K416" s="182"/>
      <c r="L416" s="182"/>
      <c r="M416" s="182"/>
      <c r="N416" s="182"/>
      <c r="O416" s="12"/>
    </row>
    <row r="417" spans="1:15">
      <c r="A417" s="12"/>
      <c r="H417" s="182"/>
      <c r="J417" s="182"/>
      <c r="K417" s="182"/>
      <c r="L417" s="182"/>
      <c r="M417" s="182"/>
      <c r="N417" s="182"/>
      <c r="O417" s="12"/>
    </row>
    <row r="418" spans="1:15">
      <c r="A418" s="12"/>
      <c r="H418" s="182"/>
      <c r="J418" s="182"/>
      <c r="K418" s="182"/>
      <c r="L418" s="182"/>
      <c r="M418" s="182"/>
      <c r="N418" s="182"/>
      <c r="O418" s="12"/>
    </row>
    <row r="419" spans="1:15">
      <c r="A419" s="12"/>
      <c r="H419" s="182"/>
      <c r="J419" s="182"/>
      <c r="K419" s="182"/>
      <c r="L419" s="182"/>
      <c r="M419" s="182"/>
      <c r="N419" s="182"/>
      <c r="O419" s="12"/>
    </row>
    <row r="420" spans="1:15">
      <c r="A420" s="12"/>
      <c r="H420" s="182"/>
      <c r="J420" s="182"/>
      <c r="K420" s="182"/>
      <c r="L420" s="182"/>
      <c r="M420" s="182"/>
      <c r="N420" s="182"/>
      <c r="O420" s="12"/>
    </row>
    <row r="421" spans="1:15">
      <c r="A421" s="12"/>
      <c r="H421" s="182"/>
      <c r="J421" s="182"/>
      <c r="K421" s="182"/>
      <c r="L421" s="182"/>
      <c r="M421" s="182"/>
      <c r="N421" s="182"/>
      <c r="O421" s="12"/>
    </row>
    <row r="422" spans="1:15">
      <c r="A422" s="12"/>
      <c r="H422" s="182"/>
      <c r="J422" s="182"/>
      <c r="K422" s="182"/>
      <c r="L422" s="182"/>
      <c r="M422" s="182"/>
      <c r="N422" s="182"/>
      <c r="O422" s="12"/>
    </row>
    <row r="429" spans="1:15">
      <c r="A429" s="333"/>
    </row>
  </sheetData>
  <phoneticPr fontId="2" type="noConversion"/>
  <conditionalFormatting sqref="A356">
    <cfRule type="cellIs" dxfId="1" priority="1" operator="equal">
      <formula>"TBD"</formula>
    </cfRule>
    <cfRule type="expression" dxfId="0" priority="2">
      <formula>IF(AND(OR($T356="AutoRec Succes",$T356="Failed/Lot abort",$T356="Failed/Lot abort no AutoRec",$T356="Failed/Lot abort after AutoRec"),ISBLANK($AH356)),TRUE,FALSE)</formula>
    </cfRule>
  </conditionalFormatting>
  <pageMargins left="0.7" right="0.7" top="0.75" bottom="0.75" header="0.3" footer="0.3"/>
  <tableParts count="1">
    <tablePart r:id="rId1"/>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9E17F7-31BA-42ED-AE54-1A30F76287A0}">
  <dimension ref="A1:E8"/>
  <sheetViews>
    <sheetView workbookViewId="0">
      <selection activeCell="B2" sqref="B2"/>
    </sheetView>
  </sheetViews>
  <sheetFormatPr defaultRowHeight="15"/>
  <cols>
    <col min="1" max="1" width="11" customWidth="1"/>
    <col min="2" max="2" width="64.28515625" bestFit="1" customWidth="1"/>
    <col min="3" max="3" width="26.85546875" customWidth="1"/>
    <col min="4" max="4" width="57.140625" bestFit="1" customWidth="1"/>
    <col min="5" max="5" width="28.42578125" bestFit="1" customWidth="1"/>
  </cols>
  <sheetData>
    <row r="1" spans="1:5">
      <c r="A1" s="37" t="s">
        <v>69</v>
      </c>
      <c r="B1" s="12" t="s">
        <v>2517</v>
      </c>
      <c r="C1" s="37" t="s">
        <v>2518</v>
      </c>
      <c r="D1" s="12" t="s">
        <v>2519</v>
      </c>
      <c r="E1" s="37" t="s">
        <v>974</v>
      </c>
    </row>
    <row r="2" spans="1:5">
      <c r="A2" s="37">
        <v>1</v>
      </c>
      <c r="B2" s="12" t="s">
        <v>2520</v>
      </c>
      <c r="C2" s="37" t="s">
        <v>2521</v>
      </c>
      <c r="D2" s="12" t="s">
        <v>2522</v>
      </c>
      <c r="E2" s="37"/>
    </row>
    <row r="3" spans="1:5">
      <c r="A3" s="37">
        <v>2</v>
      </c>
      <c r="B3" s="12" t="s">
        <v>2523</v>
      </c>
      <c r="C3" s="37" t="s">
        <v>2524</v>
      </c>
      <c r="D3" s="12" t="s">
        <v>2525</v>
      </c>
      <c r="E3" s="37"/>
    </row>
    <row r="4" spans="1:5">
      <c r="A4" s="37">
        <v>3</v>
      </c>
      <c r="B4" s="12" t="s">
        <v>2526</v>
      </c>
      <c r="C4" s="37" t="s">
        <v>2527</v>
      </c>
      <c r="D4" s="12" t="s">
        <v>2525</v>
      </c>
      <c r="E4" s="37"/>
    </row>
    <row r="5" spans="1:5" ht="45">
      <c r="A5" s="37">
        <v>4</v>
      </c>
      <c r="B5" s="12" t="s">
        <v>2528</v>
      </c>
      <c r="C5" s="37" t="s">
        <v>2529</v>
      </c>
      <c r="D5" s="12" t="s">
        <v>2525</v>
      </c>
      <c r="E5" s="238" t="s">
        <v>2530</v>
      </c>
    </row>
    <row r="6" spans="1:5">
      <c r="A6" s="37">
        <v>5</v>
      </c>
      <c r="B6" s="12" t="s">
        <v>2531</v>
      </c>
      <c r="C6" s="37" t="s">
        <v>2529</v>
      </c>
      <c r="D6" s="12" t="s">
        <v>2525</v>
      </c>
      <c r="E6" s="12" t="s">
        <v>2532</v>
      </c>
    </row>
    <row r="7" spans="1:5">
      <c r="A7" s="37">
        <v>6</v>
      </c>
      <c r="B7" s="365" t="s">
        <v>2533</v>
      </c>
      <c r="C7" s="37" t="s">
        <v>2534</v>
      </c>
      <c r="D7" s="12" t="s">
        <v>2525</v>
      </c>
      <c r="E7" s="37" t="s">
        <v>2535</v>
      </c>
    </row>
    <row r="8" spans="1:5">
      <c r="A8" s="37">
        <v>7</v>
      </c>
      <c r="B8" s="365" t="s">
        <v>2536</v>
      </c>
      <c r="C8" s="37" t="s">
        <v>2534</v>
      </c>
      <c r="D8" s="12" t="s">
        <v>2525</v>
      </c>
      <c r="E8" s="37" t="s">
        <v>2535</v>
      </c>
    </row>
  </sheetData>
  <pageMargins left="0.7" right="0.7" top="0.75" bottom="0.75" header="0.3" footer="0.3"/>
  <tableParts count="1">
    <tablePart r:id="rId1"/>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A74A1-D47C-46FB-B749-26AC9C26610E}">
  <dimension ref="A1:G31"/>
  <sheetViews>
    <sheetView workbookViewId="0">
      <selection activeCell="K18" sqref="K18"/>
    </sheetView>
  </sheetViews>
  <sheetFormatPr defaultRowHeight="15"/>
  <sheetData>
    <row r="1" spans="1:7">
      <c r="A1" t="s">
        <v>2537</v>
      </c>
      <c r="B1" t="s">
        <v>2538</v>
      </c>
      <c r="D1" t="s">
        <v>2539</v>
      </c>
      <c r="E1" t="s">
        <v>2540</v>
      </c>
      <c r="F1" t="s">
        <v>2541</v>
      </c>
      <c r="G1" t="s">
        <v>2542</v>
      </c>
    </row>
    <row r="2" spans="1:7">
      <c r="A2" t="s">
        <v>2543</v>
      </c>
      <c r="B2" t="s">
        <v>2544</v>
      </c>
      <c r="C2" t="s">
        <v>2545</v>
      </c>
      <c r="D2" t="s">
        <v>2546</v>
      </c>
      <c r="E2">
        <v>4</v>
      </c>
      <c r="F2" t="s">
        <v>2544</v>
      </c>
      <c r="G2" t="s">
        <v>2547</v>
      </c>
    </row>
    <row r="3" spans="1:7">
      <c r="A3" t="s">
        <v>12</v>
      </c>
      <c r="B3" t="s">
        <v>2548</v>
      </c>
      <c r="C3" t="s">
        <v>2549</v>
      </c>
      <c r="D3" t="s">
        <v>2550</v>
      </c>
      <c r="E3">
        <v>1</v>
      </c>
      <c r="F3" t="s">
        <v>2548</v>
      </c>
      <c r="G3" t="s">
        <v>2551</v>
      </c>
    </row>
    <row r="4" spans="1:7">
      <c r="A4" t="s">
        <v>2552</v>
      </c>
      <c r="B4" t="s">
        <v>2544</v>
      </c>
      <c r="C4" t="s">
        <v>2545</v>
      </c>
      <c r="D4" t="s">
        <v>1704</v>
      </c>
      <c r="E4">
        <v>20</v>
      </c>
      <c r="F4" t="s">
        <v>2544</v>
      </c>
      <c r="G4" t="s">
        <v>2553</v>
      </c>
    </row>
    <row r="5" spans="1:7">
      <c r="A5" t="s">
        <v>2554</v>
      </c>
      <c r="B5" t="s">
        <v>2544</v>
      </c>
      <c r="C5" t="s">
        <v>2545</v>
      </c>
      <c r="D5" t="s">
        <v>2550</v>
      </c>
      <c r="E5">
        <v>5</v>
      </c>
      <c r="F5" t="s">
        <v>2544</v>
      </c>
      <c r="G5" t="s">
        <v>2555</v>
      </c>
    </row>
    <row r="6" spans="1:7">
      <c r="A6" t="s">
        <v>2556</v>
      </c>
      <c r="B6" t="s">
        <v>2548</v>
      </c>
      <c r="C6" t="s">
        <v>2545</v>
      </c>
      <c r="D6" t="s">
        <v>2557</v>
      </c>
      <c r="E6">
        <v>1</v>
      </c>
      <c r="F6" t="s">
        <v>2548</v>
      </c>
      <c r="G6" t="s">
        <v>2558</v>
      </c>
    </row>
    <row r="7" spans="1:7">
      <c r="A7" t="s">
        <v>2559</v>
      </c>
      <c r="B7" t="s">
        <v>2548</v>
      </c>
      <c r="C7" t="s">
        <v>2545</v>
      </c>
      <c r="D7" t="s">
        <v>2527</v>
      </c>
      <c r="E7">
        <v>1</v>
      </c>
      <c r="F7" t="s">
        <v>2548</v>
      </c>
      <c r="G7" t="s">
        <v>2560</v>
      </c>
    </row>
    <row r="8" spans="1:7">
      <c r="A8" t="s">
        <v>2561</v>
      </c>
      <c r="B8" t="s">
        <v>2548</v>
      </c>
      <c r="C8" t="s">
        <v>2545</v>
      </c>
      <c r="D8" t="s">
        <v>2527</v>
      </c>
      <c r="E8">
        <v>6</v>
      </c>
      <c r="F8" t="s">
        <v>2548</v>
      </c>
      <c r="G8" t="s">
        <v>2562</v>
      </c>
    </row>
    <row r="9" spans="1:7">
      <c r="A9" t="s">
        <v>2563</v>
      </c>
      <c r="B9" t="s">
        <v>2548</v>
      </c>
      <c r="C9" t="s">
        <v>2545</v>
      </c>
      <c r="D9" t="s">
        <v>2527</v>
      </c>
      <c r="E9">
        <v>4</v>
      </c>
      <c r="F9" t="s">
        <v>2548</v>
      </c>
      <c r="G9" t="s">
        <v>2564</v>
      </c>
    </row>
    <row r="10" spans="1:7">
      <c r="A10" t="s">
        <v>1144</v>
      </c>
      <c r="B10" t="s">
        <v>2544</v>
      </c>
      <c r="C10" t="s">
        <v>2545</v>
      </c>
      <c r="D10" t="s">
        <v>2550</v>
      </c>
      <c r="E10">
        <v>2</v>
      </c>
      <c r="F10" t="s">
        <v>2544</v>
      </c>
      <c r="G10" t="s">
        <v>2565</v>
      </c>
    </row>
    <row r="11" spans="1:7">
      <c r="A11" t="s">
        <v>4</v>
      </c>
      <c r="B11" t="s">
        <v>2548</v>
      </c>
      <c r="C11" t="s">
        <v>2566</v>
      </c>
      <c r="D11" t="s">
        <v>2550</v>
      </c>
      <c r="E11">
        <v>1</v>
      </c>
      <c r="F11" t="s">
        <v>2548</v>
      </c>
      <c r="G11" t="s">
        <v>2555</v>
      </c>
    </row>
    <row r="12" spans="1:7">
      <c r="A12" t="s">
        <v>8</v>
      </c>
      <c r="B12" t="s">
        <v>2548</v>
      </c>
      <c r="C12" t="s">
        <v>2545</v>
      </c>
      <c r="D12" t="s">
        <v>2550</v>
      </c>
      <c r="E12">
        <v>2</v>
      </c>
      <c r="F12" t="s">
        <v>2548</v>
      </c>
      <c r="G12" t="s">
        <v>2567</v>
      </c>
    </row>
    <row r="13" spans="1:7">
      <c r="A13" t="s">
        <v>15</v>
      </c>
      <c r="B13" t="s">
        <v>2548</v>
      </c>
      <c r="C13" t="s">
        <v>16</v>
      </c>
      <c r="D13" t="s">
        <v>2550</v>
      </c>
      <c r="E13">
        <v>4</v>
      </c>
      <c r="F13" t="s">
        <v>2548</v>
      </c>
      <c r="G13" t="s">
        <v>2568</v>
      </c>
    </row>
    <row r="14" spans="1:7">
      <c r="A14" t="s">
        <v>1368</v>
      </c>
      <c r="B14" t="s">
        <v>2544</v>
      </c>
      <c r="C14" t="s">
        <v>2545</v>
      </c>
      <c r="D14" t="s">
        <v>2550</v>
      </c>
      <c r="E14">
        <v>3</v>
      </c>
      <c r="F14" t="s">
        <v>2544</v>
      </c>
      <c r="G14" t="s">
        <v>2569</v>
      </c>
    </row>
    <row r="15" spans="1:7">
      <c r="A15" t="s">
        <v>1367</v>
      </c>
      <c r="B15" t="s">
        <v>2544</v>
      </c>
      <c r="C15" t="s">
        <v>2545</v>
      </c>
      <c r="D15" t="s">
        <v>2550</v>
      </c>
      <c r="E15">
        <v>4</v>
      </c>
      <c r="F15" t="s">
        <v>2544</v>
      </c>
      <c r="G15" t="s">
        <v>2568</v>
      </c>
    </row>
    <row r="16" spans="1:7">
      <c r="A16" t="s">
        <v>2570</v>
      </c>
      <c r="B16" t="s">
        <v>2544</v>
      </c>
      <c r="C16" t="s">
        <v>2545</v>
      </c>
      <c r="D16" t="s">
        <v>2550</v>
      </c>
      <c r="E16">
        <v>5</v>
      </c>
      <c r="F16" t="s">
        <v>2544</v>
      </c>
      <c r="G16" t="s">
        <v>2555</v>
      </c>
    </row>
    <row r="17" spans="1:7">
      <c r="A17" t="s">
        <v>2571</v>
      </c>
      <c r="B17" t="s">
        <v>2544</v>
      </c>
      <c r="C17" t="s">
        <v>2545</v>
      </c>
      <c r="D17" t="s">
        <v>1704</v>
      </c>
      <c r="E17">
        <v>23</v>
      </c>
      <c r="F17" t="s">
        <v>2544</v>
      </c>
      <c r="G17" t="s">
        <v>2572</v>
      </c>
    </row>
    <row r="18" spans="1:7">
      <c r="A18" t="s">
        <v>2573</v>
      </c>
      <c r="B18" t="s">
        <v>2544</v>
      </c>
      <c r="C18" t="s">
        <v>2545</v>
      </c>
      <c r="D18" t="s">
        <v>2550</v>
      </c>
      <c r="E18">
        <v>6</v>
      </c>
      <c r="F18" t="s">
        <v>2544</v>
      </c>
      <c r="G18" t="s">
        <v>2574</v>
      </c>
    </row>
    <row r="19" spans="1:7">
      <c r="A19" t="s">
        <v>2575</v>
      </c>
      <c r="B19" t="s">
        <v>2544</v>
      </c>
      <c r="C19" t="s">
        <v>2545</v>
      </c>
      <c r="D19" t="s">
        <v>2550</v>
      </c>
      <c r="E19">
        <v>7</v>
      </c>
      <c r="F19" t="s">
        <v>2544</v>
      </c>
      <c r="G19" t="s">
        <v>2576</v>
      </c>
    </row>
    <row r="20" spans="1:7">
      <c r="A20" t="s">
        <v>2577</v>
      </c>
      <c r="B20" t="s">
        <v>2544</v>
      </c>
      <c r="C20" t="s">
        <v>2545</v>
      </c>
      <c r="D20" t="s">
        <v>2550</v>
      </c>
      <c r="E20">
        <v>8</v>
      </c>
      <c r="F20" t="s">
        <v>2544</v>
      </c>
      <c r="G20" t="s">
        <v>2578</v>
      </c>
    </row>
    <row r="21" spans="1:7">
      <c r="A21" t="s">
        <v>2579</v>
      </c>
      <c r="B21" t="s">
        <v>2544</v>
      </c>
      <c r="C21" t="s">
        <v>2545</v>
      </c>
      <c r="D21" t="s">
        <v>2550</v>
      </c>
      <c r="E21">
        <v>9</v>
      </c>
      <c r="F21" t="s">
        <v>2544</v>
      </c>
      <c r="G21" t="s">
        <v>2580</v>
      </c>
    </row>
    <row r="22" spans="1:7">
      <c r="A22" t="s">
        <v>2581</v>
      </c>
      <c r="B22" t="s">
        <v>2544</v>
      </c>
      <c r="C22" t="s">
        <v>2545</v>
      </c>
      <c r="D22" t="s">
        <v>2550</v>
      </c>
      <c r="E22">
        <v>20</v>
      </c>
      <c r="F22" t="s">
        <v>2544</v>
      </c>
      <c r="G22" t="s">
        <v>2582</v>
      </c>
    </row>
    <row r="23" spans="1:7">
      <c r="A23" t="s">
        <v>2583</v>
      </c>
      <c r="B23" t="s">
        <v>2544</v>
      </c>
      <c r="C23" t="s">
        <v>2545</v>
      </c>
      <c r="D23" t="s">
        <v>2550</v>
      </c>
      <c r="E23">
        <v>10</v>
      </c>
      <c r="F23" t="s">
        <v>2544</v>
      </c>
      <c r="G23" t="s">
        <v>2584</v>
      </c>
    </row>
    <row r="24" spans="1:7">
      <c r="A24" t="s">
        <v>2585</v>
      </c>
      <c r="B24" t="s">
        <v>2544</v>
      </c>
      <c r="C24" t="s">
        <v>2545</v>
      </c>
      <c r="D24" t="s">
        <v>2550</v>
      </c>
      <c r="E24">
        <v>19</v>
      </c>
      <c r="F24" t="s">
        <v>2544</v>
      </c>
      <c r="G24" t="s">
        <v>2586</v>
      </c>
    </row>
    <row r="25" spans="1:7">
      <c r="A25" t="s">
        <v>2587</v>
      </c>
      <c r="B25" t="s">
        <v>2544</v>
      </c>
      <c r="C25" t="s">
        <v>2545</v>
      </c>
      <c r="D25" t="s">
        <v>2550</v>
      </c>
      <c r="E25">
        <v>12</v>
      </c>
      <c r="F25" t="s">
        <v>2544</v>
      </c>
      <c r="G25" t="s">
        <v>2588</v>
      </c>
    </row>
    <row r="26" spans="1:7">
      <c r="A26" t="s">
        <v>2589</v>
      </c>
      <c r="B26" t="s">
        <v>2544</v>
      </c>
      <c r="C26" t="s">
        <v>2545</v>
      </c>
      <c r="D26" t="s">
        <v>2550</v>
      </c>
      <c r="E26">
        <v>13</v>
      </c>
      <c r="F26" t="s">
        <v>2544</v>
      </c>
      <c r="G26" t="s">
        <v>2590</v>
      </c>
    </row>
    <row r="27" spans="1:7">
      <c r="A27" t="s">
        <v>2591</v>
      </c>
      <c r="B27" t="s">
        <v>2544</v>
      </c>
      <c r="C27" t="s">
        <v>2545</v>
      </c>
      <c r="D27" t="s">
        <v>2550</v>
      </c>
      <c r="E27">
        <v>14</v>
      </c>
      <c r="F27" t="s">
        <v>2544</v>
      </c>
      <c r="G27" t="s">
        <v>2592</v>
      </c>
    </row>
    <row r="28" spans="1:7">
      <c r="A28" t="s">
        <v>7</v>
      </c>
      <c r="B28" t="s">
        <v>2548</v>
      </c>
      <c r="C28" t="s">
        <v>2566</v>
      </c>
      <c r="D28" t="s">
        <v>2550</v>
      </c>
      <c r="E28">
        <v>2</v>
      </c>
      <c r="F28" t="s">
        <v>2548</v>
      </c>
      <c r="G28" t="s">
        <v>2565</v>
      </c>
    </row>
    <row r="29" spans="1:7">
      <c r="A29" t="s">
        <v>2593</v>
      </c>
      <c r="B29" t="s">
        <v>2548</v>
      </c>
      <c r="C29" t="s">
        <v>2545</v>
      </c>
      <c r="D29" t="s">
        <v>2550</v>
      </c>
      <c r="E29">
        <v>3</v>
      </c>
      <c r="F29" t="s">
        <v>2548</v>
      </c>
      <c r="G29" t="s">
        <v>2594</v>
      </c>
    </row>
    <row r="30" spans="1:7">
      <c r="A30" t="s">
        <v>2595</v>
      </c>
      <c r="B30" t="s">
        <v>2548</v>
      </c>
      <c r="C30" t="s">
        <v>2545</v>
      </c>
      <c r="D30" t="s">
        <v>2546</v>
      </c>
      <c r="E30">
        <v>3</v>
      </c>
      <c r="F30" t="s">
        <v>2548</v>
      </c>
      <c r="G30" t="s">
        <v>2596</v>
      </c>
    </row>
    <row r="31" spans="1:7">
      <c r="A31" t="s">
        <v>2597</v>
      </c>
      <c r="B31" t="s">
        <v>2548</v>
      </c>
      <c r="C31" t="s">
        <v>2545</v>
      </c>
      <c r="D31" t="s">
        <v>2550</v>
      </c>
      <c r="E31">
        <v>7</v>
      </c>
      <c r="G31" t="s">
        <v>2576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65c44e8-82e0-472a-a146-da60c58e68e1" xsi:nil="true"/>
    <h299cf7589dc4b75bcd2bf9f19243c76 xmlns="665c44e8-82e0-472a-a146-da60c58e68e1">
      <Terms xmlns="http://schemas.microsoft.com/office/infopath/2007/PartnerControls"/>
    </h299cf7589dc4b75bcd2bf9f19243c76>
    <lcf76f155ced4ddcb4097134ff3c332f xmlns="e7b27cb5-3f83-49f9-92e7-7b6c82d630dd">
      <Terms xmlns="http://schemas.microsoft.com/office/infopath/2007/PartnerControls"/>
    </lcf76f155ced4ddcb4097134ff3c332f>
    <_Flow_SignoffStatus xmlns="e7b27cb5-3f83-49f9-92e7-7b6c82d630dd" xsi:nil="true"/>
  </documentManagement>
</p:properties>
</file>

<file path=customXml/item2.xml><?xml version="1.0" encoding="utf-8"?>
<?mso-contentType ?>
<SharedContentType xmlns="Microsoft.SharePoint.Taxonomy.ContentTypeSync" SourceId="9bb7800a-9dd4-4efa-9404-7ac564e646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
</file>

<file path=customXml/item5.xml><?xml version="1.0" encoding="utf-8"?>
<ct:contentTypeSchema xmlns:ct="http://schemas.microsoft.com/office/2006/metadata/contentType" xmlns:ma="http://schemas.microsoft.com/office/2006/metadata/properties/metaAttributes" ct:_="" ma:_="" ma:contentTypeName="Document" ma:contentTypeID="0x010100D901C64C600E0040866490397206D46C" ma:contentTypeVersion="18" ma:contentTypeDescription="Create a new document." ma:contentTypeScope="" ma:versionID="b3499090d51dd6b6b67ea37021d43677">
  <xsd:schema xmlns:xsd="http://www.w3.org/2001/XMLSchema" xmlns:xs="http://www.w3.org/2001/XMLSchema" xmlns:p="http://schemas.microsoft.com/office/2006/metadata/properties" xmlns:ns2="665c44e8-82e0-472a-a146-da60c58e68e1" xmlns:ns3="e7b27cb5-3f83-49f9-92e7-7b6c82d630dd" xmlns:ns4="8fa749d9-08a2-4419-85f7-a19df5f12184" targetNamespace="http://schemas.microsoft.com/office/2006/metadata/properties" ma:root="true" ma:fieldsID="c68201a3f9762c4ac431b09ae7c6051b" ns2:_="" ns3:_="" ns4:_="">
    <xsd:import namespace="665c44e8-82e0-472a-a146-da60c58e68e1"/>
    <xsd:import namespace="e7b27cb5-3f83-49f9-92e7-7b6c82d630dd"/>
    <xsd:import namespace="8fa749d9-08a2-4419-85f7-a19df5f12184"/>
    <xsd:element name="properties">
      <xsd:complexType>
        <xsd:sequence>
          <xsd:element name="documentManagement">
            <xsd:complexType>
              <xsd:all>
                <xsd:element ref="ns2:h299cf7589dc4b75bcd2bf9f19243c76" minOccurs="0"/>
                <xsd:element ref="ns2:TaxCatchAll" minOccurs="0"/>
                <xsd:element ref="ns2:TaxCatchAllLabel" minOccurs="0"/>
                <xsd:element ref="ns3:MediaServiceMetadata" minOccurs="0"/>
                <xsd:element ref="ns3:MediaServiceFastMetadata" minOccurs="0"/>
                <xsd:element ref="ns4:SharedWithUsers" minOccurs="0"/>
                <xsd:element ref="ns4:SharedWithDetail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_Flow_SignoffStatus" minOccurs="0"/>
                <xsd:element ref="ns3:MediaLengthInSeconds" minOccurs="0"/>
                <xsd:element ref="ns3:lcf76f155ced4ddcb4097134ff3c332f" minOccurs="0"/>
                <xsd:element ref="ns3:MediaServiceObjectDetectorVersions" minOccurs="0"/>
                <xsd:element ref="ns3:MediaServiceLocation"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65c44e8-82e0-472a-a146-da60c58e68e1" elementFormDefault="qualified">
    <xsd:import namespace="http://schemas.microsoft.com/office/2006/documentManagement/types"/>
    <xsd:import namespace="http://schemas.microsoft.com/office/infopath/2007/PartnerControls"/>
    <xsd:element name="h299cf7589dc4b75bcd2bf9f19243c76" ma:index="8" nillable="true" ma:taxonomy="true" ma:internalName="h299cf7589dc4b75bcd2bf9f19243c76" ma:taxonomyFieldName="InformationClassification" ma:displayName="Information Classification" ma:readOnly="false" ma:default="" ma:fieldId="{1299cf75-89dc-4b75-bcd2-bf9f19243c76}" ma:sspId="9bb7800a-9dd4-4efa-9404-7ac564e64633" ma:termSetId="15e70205-4b68-455f-98cc-31f0c369727b" ma:anchorId="00000000-0000-0000-0000-000000000000" ma:open="false" ma:isKeyword="false">
      <xsd:complexType>
        <xsd:sequence>
          <xsd:element ref="pc:Terms" minOccurs="0" maxOccurs="1"/>
        </xsd:sequence>
      </xsd:complexType>
    </xsd:element>
    <xsd:element name="TaxCatchAll" ma:index="9" nillable="true" ma:displayName="Taxonomy Catch All Column" ma:hidden="true" ma:list="{324b7e09-810a-4221-8c03-b7d88ca6c859}" ma:internalName="TaxCatchAll" ma:showField="CatchAllData" ma:web="8fa749d9-08a2-4419-85f7-a19df5f12184">
      <xsd:complexType>
        <xsd:complexContent>
          <xsd:extension base="dms:MultiChoiceLookup">
            <xsd:sequence>
              <xsd:element name="Value" type="dms:Lookup" maxOccurs="unbounded" minOccurs="0" nillable="true"/>
            </xsd:sequence>
          </xsd:extension>
        </xsd:complexContent>
      </xsd:complexType>
    </xsd:element>
    <xsd:element name="TaxCatchAllLabel" ma:index="10" nillable="true" ma:displayName="Taxonomy Catch All Column1" ma:hidden="true" ma:list="{324b7e09-810a-4221-8c03-b7d88ca6c859}" ma:internalName="TaxCatchAllLabel" ma:readOnly="true" ma:showField="CatchAllDataLabel" ma:web="8fa749d9-08a2-4419-85f7-a19df5f1218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e7b27cb5-3f83-49f9-92e7-7b6c82d630dd" elementFormDefault="qualified">
    <xsd:import namespace="http://schemas.microsoft.com/office/2006/documentManagement/types"/>
    <xsd:import namespace="http://schemas.microsoft.com/office/infopath/2007/PartnerControls"/>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ternalName="MediaServiceDateTaken" ma:readOnly="true">
      <xsd:simpleType>
        <xsd:restriction base="dms:Text"/>
      </xsd:simpleType>
    </xsd:element>
    <xsd:element name="_Flow_SignoffStatus" ma:index="21" nillable="true" ma:displayName="Sign-off status" ma:internalName="Sign_x002d_off_x0020_status">
      <xsd:simpleType>
        <xsd:restriction base="dms:Text"/>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9bb7800a-9dd4-4efa-9404-7ac564e646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element name="MediaServiceLocation" ma:index="26" nillable="true" ma:displayName="Location" ma:indexed="true" ma:internalName="MediaServiceLocation"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fa749d9-08a2-4419-85f7-a19df5f12184"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9D8EC2B-EF78-48A1-BC12-6EA38A5FD8CB}">
  <ds:schemaRefs>
    <ds:schemaRef ds:uri="http://purl.org/dc/elements/1.1/"/>
    <ds:schemaRef ds:uri="http://schemas.microsoft.com/office/2006/metadata/properties"/>
    <ds:schemaRef ds:uri="665c44e8-82e0-472a-a146-da60c58e68e1"/>
    <ds:schemaRef ds:uri="e7b27cb5-3f83-49f9-92e7-7b6c82d630dd"/>
    <ds:schemaRef ds:uri="http://purl.org/dc/terms/"/>
    <ds:schemaRef ds:uri="http://schemas.microsoft.com/office/infopath/2007/PartnerControls"/>
    <ds:schemaRef ds:uri="http://schemas.openxmlformats.org/package/2006/metadata/core-properties"/>
    <ds:schemaRef ds:uri="http://schemas.microsoft.com/office/2006/documentManagement/types"/>
    <ds:schemaRef ds:uri="8fa749d9-08a2-4419-85f7-a19df5f12184"/>
    <ds:schemaRef ds:uri="http://www.w3.org/XML/1998/namespace"/>
    <ds:schemaRef ds:uri="http://purl.org/dc/dcmitype/"/>
  </ds:schemaRefs>
</ds:datastoreItem>
</file>

<file path=customXml/itemProps2.xml><?xml version="1.0" encoding="utf-8"?>
<ds:datastoreItem xmlns:ds="http://schemas.openxmlformats.org/officeDocument/2006/customXml" ds:itemID="{9B491FD0-0E69-4C53-9B32-A3A0AC4239E7}">
  <ds:schemaRefs>
    <ds:schemaRef ds:uri="Microsoft.SharePoint.Taxonomy.ContentTypeSync"/>
  </ds:schemaRefs>
</ds:datastoreItem>
</file>

<file path=customXml/itemProps3.xml><?xml version="1.0" encoding="utf-8"?>
<ds:datastoreItem xmlns:ds="http://schemas.openxmlformats.org/officeDocument/2006/customXml" ds:itemID="{63A483C8-3E96-425E-89E6-56C43746289C}">
  <ds:schemaRefs>
    <ds:schemaRef ds:uri="http://schemas.microsoft.com/sharepoint/v3/contenttype/forms"/>
  </ds:schemaRefs>
</ds:datastoreItem>
</file>

<file path=customXml/itemProps4.xml><?xml version="1.0" encoding="utf-8"?>
<ds:datastoreItem xmlns:ds="http://schemas.openxmlformats.org/officeDocument/2006/customXml" ds:itemID="{7CCB0415-EB71-4888-AC14-0C162116BAA8}">
  <ds:schemaRefs>
    <ds:schemaRef ds:uri="http://schemas.microsoft.com/DataMashup"/>
  </ds:schemaRefs>
</ds:datastoreItem>
</file>

<file path=customXml/itemProps5.xml><?xml version="1.0" encoding="utf-8"?>
<ds:datastoreItem xmlns:ds="http://schemas.openxmlformats.org/officeDocument/2006/customXml" ds:itemID="{97286301-110F-454D-A05C-C1CB8F88E2C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65c44e8-82e0-472a-a146-da60c58e68e1"/>
    <ds:schemaRef ds:uri="e7b27cb5-3f83-49f9-92e7-7b6c82d630dd"/>
    <ds:schemaRef ds:uri="8fa749d9-08a2-4419-85f7-a19df5f1218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7eefa9a5-d102-4fbc-94a4-07f032fb53e7}" enabled="1" method="Privileged" siteId="{af73baa8-f594-4eb2-a39d-93e96cad61fc}"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27</vt:i4>
      </vt:variant>
      <vt:variant>
        <vt:lpstr>Named Ranges</vt:lpstr>
      </vt:variant>
      <vt:variant>
        <vt:i4>5</vt:i4>
      </vt:variant>
    </vt:vector>
  </HeadingPairs>
  <TitlesOfParts>
    <vt:vector size="32" baseType="lpstr">
      <vt:lpstr>5000_Fleet</vt:lpstr>
      <vt:lpstr>List</vt:lpstr>
      <vt:lpstr>Daily Run Hours</vt:lpstr>
      <vt:lpstr>FC-AV Look up</vt:lpstr>
      <vt:lpstr>Hit Rate Waterfall</vt:lpstr>
      <vt:lpstr>Error_Log</vt:lpstr>
      <vt:lpstr>Sheet1</vt:lpstr>
      <vt:lpstr>Summary</vt:lpstr>
      <vt:lpstr>13_week_graph</vt:lpstr>
      <vt:lpstr>13_week_graph_</vt:lpstr>
      <vt:lpstr>Overview</vt:lpstr>
      <vt:lpstr>MTBF(u+p)</vt:lpstr>
      <vt:lpstr>Pivot</vt:lpstr>
      <vt:lpstr>MTBF graph_FIELD</vt:lpstr>
      <vt:lpstr>MTBF graph_GY86</vt:lpstr>
      <vt:lpstr>MTBF graph_vs_ROW</vt:lpstr>
      <vt:lpstr>MTBF graph_CR51</vt:lpstr>
      <vt:lpstr>Waterfall</vt:lpstr>
      <vt:lpstr>MTBF graph_EX04</vt:lpstr>
      <vt:lpstr>Batch MTBF</vt:lpstr>
      <vt:lpstr>MTBF(u+p) total report EZ60</vt:lpstr>
      <vt:lpstr>AV&amp;Utilization</vt:lpstr>
      <vt:lpstr>MTBF_hits_comparison</vt:lpstr>
      <vt:lpstr>Waterfall EZ60</vt:lpstr>
      <vt:lpstr>AIR_dump</vt:lpstr>
      <vt:lpstr>Line-items-definitions</vt:lpstr>
      <vt:lpstr>protos</vt:lpstr>
      <vt:lpstr>AIR2_</vt:lpstr>
      <vt:lpstr>ErrorLog</vt:lpstr>
      <vt:lpstr>now_summary</vt:lpstr>
      <vt:lpstr>offset</vt:lpstr>
      <vt:lpstr>SummaryX</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Serhan Kurtaraner</dc:creator>
  <cp:keywords/>
  <dc:description/>
  <cp:lastModifiedBy>Jack Leene</cp:lastModifiedBy>
  <cp:revision/>
  <dcterms:created xsi:type="dcterms:W3CDTF">2024-07-30T06:49:33Z</dcterms:created>
  <dcterms:modified xsi:type="dcterms:W3CDTF">2025-09-09T09:02:49Z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eefa9a5-d102-4fbc-94a4-07f032fb53e7_Enabled">
    <vt:lpwstr>true</vt:lpwstr>
  </property>
  <property fmtid="{D5CDD505-2E9C-101B-9397-08002B2CF9AE}" pid="3" name="MSIP_Label_7eefa9a5-d102-4fbc-94a4-07f032fb53e7_SetDate">
    <vt:lpwstr>2024-07-30T07:53:25Z</vt:lpwstr>
  </property>
  <property fmtid="{D5CDD505-2E9C-101B-9397-08002B2CF9AE}" pid="4" name="MSIP_Label_7eefa9a5-d102-4fbc-94a4-07f032fb53e7_Method">
    <vt:lpwstr>Privileged</vt:lpwstr>
  </property>
  <property fmtid="{D5CDD505-2E9C-101B-9397-08002B2CF9AE}" pid="5" name="MSIP_Label_7eefa9a5-d102-4fbc-94a4-07f032fb53e7_Name">
    <vt:lpwstr>7eefa9a5-d102-4fbc-94a4-07f032fb53e7</vt:lpwstr>
  </property>
  <property fmtid="{D5CDD505-2E9C-101B-9397-08002B2CF9AE}" pid="6" name="MSIP_Label_7eefa9a5-d102-4fbc-94a4-07f032fb53e7_SiteId">
    <vt:lpwstr>af73baa8-f594-4eb2-a39d-93e96cad61fc</vt:lpwstr>
  </property>
  <property fmtid="{D5CDD505-2E9C-101B-9397-08002B2CF9AE}" pid="7" name="MSIP_Label_7eefa9a5-d102-4fbc-94a4-07f032fb53e7_ActionId">
    <vt:lpwstr>b735fa08-b743-4161-a928-e67235aded3a</vt:lpwstr>
  </property>
  <property fmtid="{D5CDD505-2E9C-101B-9397-08002B2CF9AE}" pid="8" name="MSIP_Label_7eefa9a5-d102-4fbc-94a4-07f032fb53e7_ContentBits">
    <vt:lpwstr>2</vt:lpwstr>
  </property>
  <property fmtid="{D5CDD505-2E9C-101B-9397-08002B2CF9AE}" pid="9" name="ContentTypeId">
    <vt:lpwstr>0x010100D901C64C600E0040866490397206D46C</vt:lpwstr>
  </property>
  <property fmtid="{D5CDD505-2E9C-101B-9397-08002B2CF9AE}" pid="10" name="MediaServiceImageTags">
    <vt:lpwstr/>
  </property>
  <property fmtid="{D5CDD505-2E9C-101B-9397-08002B2CF9AE}" pid="11" name="InformationClassification">
    <vt:lpwstr/>
  </property>
</Properties>
</file>